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chanan\AppData\Local\Microsoft\Windows\INetCache\Content.Outlook\9AVD3AY9\"/>
    </mc:Choice>
  </mc:AlternateContent>
  <bookViews>
    <workbookView xWindow="60" yWindow="216" windowWidth="11340" windowHeight="6432"/>
  </bookViews>
  <sheets>
    <sheet name="TGT Plan" sheetId="1" r:id="rId1"/>
    <sheet name="Co-owned storage" sheetId="14" state="hidden" r:id="rId2"/>
    <sheet name="Texas Gas Zone 2, KY 16-17" sheetId="17" state="hidden" r:id="rId3"/>
    <sheet name="Texas Gas Zn 3 South, KY 16-17" sheetId="20" state="hidden" r:id="rId4"/>
    <sheet name="Texas Gas Zn 3 North, KY 16-17" sheetId="19" state="hidden" r:id="rId5"/>
    <sheet name="Texas Gas Zone 4, KY 16-17" sheetId="21" state="hidden" r:id="rId6"/>
    <sheet name="Texas Gas Zone 2, KY 17-18" sheetId="23" state="hidden" r:id="rId7"/>
    <sheet name="Texas Gas Zn 3 North, KY 17-18" sheetId="24" state="hidden" r:id="rId8"/>
    <sheet name="Texas Gas Zn 3 South, KY 17-18" sheetId="25" state="hidden" r:id="rId9"/>
    <sheet name="Texas Gas Zone 4, KY 17-18" sheetId="26" state="hidden" r:id="rId10"/>
    <sheet name="forecast" sheetId="22" state="hidden" r:id="rId11"/>
    <sheet name="Sheet5" sheetId="27" state="hidden" r:id="rId12"/>
  </sheets>
  <externalReferences>
    <externalReference r:id="rId13"/>
    <externalReference r:id="rId14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esDayHddMethod" localSheetId="7">#REF!</definedName>
    <definedName name="DesDayHddMethod" localSheetId="8">#REF!</definedName>
    <definedName name="DesDayHddMethod" localSheetId="9">#REF!</definedName>
    <definedName name="DesDayHddMethod">#REF!</definedName>
    <definedName name="Forecast_Model_Used" localSheetId="7">#REF!</definedName>
    <definedName name="Forecast_Model_Used" localSheetId="8">#REF!</definedName>
    <definedName name="Forecast_Model_Used" localSheetId="9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 localSheetId="7">#REF!</definedName>
    <definedName name="Name_Of_Load_Study" localSheetId="8">#REF!</definedName>
    <definedName name="Name_Of_Load_Study" localSheetId="9">#REF!</definedName>
    <definedName name="Name_Of_Load_Study">#REF!</definedName>
    <definedName name="Pipelines" localSheetId="7">'[2]Output Summary'!$AG$3:$AG$32</definedName>
    <definedName name="_xlnm.Print_Area" localSheetId="1">'Co-owned storage'!$A$1:$M$50</definedName>
    <definedName name="_xlnm.Print_Area" localSheetId="0">'TGT Plan'!$A$1:$P$71</definedName>
    <definedName name="Print_Total">#REF!</definedName>
    <definedName name="Third_Party_Obligation">'[1]Weather Station Information'!$C$3:$F$111</definedName>
    <definedName name="Time_Period_Utilized" localSheetId="7">#REF!</definedName>
    <definedName name="Time_Period_Utilized" localSheetId="8">#REF!</definedName>
    <definedName name="Time_Period_Utilized" localSheetId="9">#REF!</definedName>
    <definedName name="Time_Period_Utilized">#REF!</definedName>
  </definedNames>
  <calcPr calcId="152511"/>
</workbook>
</file>

<file path=xl/calcChain.xml><?xml version="1.0" encoding="utf-8"?>
<calcChain xmlns="http://schemas.openxmlformats.org/spreadsheetml/2006/main">
  <c r="AO34" i="22" l="1"/>
  <c r="AP34" i="22"/>
  <c r="AQ34" i="22"/>
  <c r="AN34" i="22"/>
  <c r="B70" i="1" l="1"/>
  <c r="B69" i="1"/>
  <c r="B68" i="1"/>
  <c r="AQ35" i="22"/>
  <c r="AQ36" i="22" s="1"/>
  <c r="AP35" i="22"/>
  <c r="AO35" i="22"/>
  <c r="AO36" i="22" s="1"/>
  <c r="AN35" i="22"/>
  <c r="AN36" i="22" s="1"/>
  <c r="K23" i="1"/>
  <c r="K14" i="1"/>
  <c r="AP36" i="22"/>
  <c r="AS34" i="22" l="1"/>
  <c r="AS35" i="22"/>
  <c r="I23" i="1" l="1"/>
  <c r="I18" i="1"/>
  <c r="AI35" i="22" l="1"/>
  <c r="AI36" i="22" s="1"/>
  <c r="AH35" i="22"/>
  <c r="AH36" i="22" s="1"/>
  <c r="AG35" i="22"/>
  <c r="AG36" i="22" s="1"/>
  <c r="AF35" i="22"/>
  <c r="AK35" i="22" s="1"/>
  <c r="AI34" i="22"/>
  <c r="AH34" i="22"/>
  <c r="AG34" i="22"/>
  <c r="AF34" i="22"/>
  <c r="AF36" i="22" l="1"/>
  <c r="AK34" i="22"/>
  <c r="G18" i="1" l="1"/>
  <c r="G23" i="1"/>
  <c r="Y35" i="22" l="1"/>
  <c r="Y36" i="22" s="1"/>
  <c r="X35" i="22"/>
  <c r="X36" i="22" s="1"/>
  <c r="W35" i="22"/>
  <c r="W36" i="22" s="1"/>
  <c r="V35" i="22"/>
  <c r="V36" i="22" s="1"/>
  <c r="L35" i="22"/>
  <c r="Y34" i="22"/>
  <c r="X34" i="22"/>
  <c r="W34" i="22"/>
  <c r="V34" i="22"/>
  <c r="AA35" i="22" l="1"/>
  <c r="AA34" i="22"/>
  <c r="L36" i="22" l="1"/>
  <c r="E18" i="1"/>
  <c r="C70" i="1"/>
  <c r="D70" i="1" s="1"/>
  <c r="E70" i="1" s="1"/>
  <c r="I38" i="1" s="1"/>
  <c r="C69" i="1"/>
  <c r="D69" i="1" s="1"/>
  <c r="E69" i="1" s="1"/>
  <c r="C68" i="1"/>
  <c r="D68" i="1" s="1"/>
  <c r="E68" i="1" s="1"/>
  <c r="E23" i="1"/>
  <c r="E14" i="1"/>
  <c r="K27" i="1" l="1"/>
  <c r="I27" i="1"/>
  <c r="D71" i="1"/>
  <c r="O36" i="22"/>
  <c r="M36" i="22"/>
  <c r="O35" i="22"/>
  <c r="N35" i="22"/>
  <c r="N36" i="22" s="1"/>
  <c r="M35" i="22"/>
  <c r="O34" i="22"/>
  <c r="N34" i="22"/>
  <c r="M34" i="22"/>
  <c r="L34" i="22"/>
  <c r="Q34" i="22" l="1"/>
  <c r="E71" i="1"/>
  <c r="Q35" i="22"/>
  <c r="L35" i="14"/>
  <c r="K35" i="14"/>
  <c r="J35" i="14"/>
  <c r="I35" i="14"/>
  <c r="H35" i="14"/>
  <c r="G35" i="14"/>
  <c r="F35" i="14"/>
  <c r="O23" i="1"/>
  <c r="M23" i="1"/>
  <c r="O18" i="1"/>
  <c r="M18" i="1"/>
  <c r="O14" i="1"/>
  <c r="M14" i="1"/>
  <c r="I14" i="1"/>
  <c r="G14" i="1"/>
  <c r="N15" i="1"/>
  <c r="L15" i="1"/>
  <c r="J15" i="1"/>
  <c r="H15" i="1"/>
  <c r="F15" i="1"/>
  <c r="D15" i="1"/>
  <c r="S58" i="1" l="1"/>
  <c r="C23" i="1"/>
  <c r="C18" i="1"/>
  <c r="C14" i="1"/>
  <c r="B15" i="1" l="1"/>
  <c r="H38" i="1" l="1"/>
  <c r="F38" i="1"/>
  <c r="D38" i="1"/>
  <c r="D36" i="1"/>
  <c r="B25" i="14"/>
  <c r="B27" i="14"/>
  <c r="B29" i="14"/>
  <c r="B31" i="14"/>
  <c r="B33" i="14"/>
  <c r="B35" i="14"/>
  <c r="J49" i="14" l="1"/>
  <c r="J51" i="14" s="1"/>
  <c r="K51" i="14" s="1"/>
  <c r="D57" i="14"/>
  <c r="N23" i="1"/>
  <c r="L23" i="1"/>
  <c r="J23" i="1"/>
  <c r="H23" i="1"/>
  <c r="F23" i="1"/>
  <c r="D23" i="1"/>
  <c r="N18" i="1"/>
  <c r="L18" i="1"/>
  <c r="J18" i="1"/>
  <c r="H18" i="1"/>
  <c r="F18" i="1"/>
  <c r="D18" i="1"/>
  <c r="H36" i="1"/>
  <c r="F36" i="1"/>
  <c r="N14" i="1" l="1"/>
  <c r="L14" i="1"/>
  <c r="J14" i="1"/>
  <c r="H14" i="1"/>
  <c r="F14" i="1"/>
  <c r="D14" i="1"/>
  <c r="F35" i="22"/>
  <c r="E34" i="22"/>
  <c r="E35" i="22" s="1"/>
  <c r="D34" i="22"/>
  <c r="D35" i="22" s="1"/>
  <c r="C34" i="22"/>
  <c r="C35" i="22" s="1"/>
  <c r="B14" i="1" l="1"/>
  <c r="M58" i="21"/>
  <c r="M57" i="21"/>
  <c r="M49" i="21"/>
  <c r="M48" i="21"/>
  <c r="M47" i="21"/>
  <c r="E31" i="21"/>
  <c r="E13" i="21" s="1"/>
  <c r="E14" i="21" s="1"/>
  <c r="E15" i="21" s="1"/>
  <c r="M58" i="19"/>
  <c r="M57" i="19"/>
  <c r="M49" i="19"/>
  <c r="M48" i="19"/>
  <c r="M47" i="19"/>
  <c r="M59" i="19" s="1"/>
  <c r="E26" i="19"/>
  <c r="E31" i="19" s="1"/>
  <c r="E13" i="19" s="1"/>
  <c r="E14" i="19" s="1"/>
  <c r="E15" i="19" s="1"/>
  <c r="M58" i="20"/>
  <c r="M57" i="20"/>
  <c r="M49" i="20"/>
  <c r="M48" i="20"/>
  <c r="M47" i="20"/>
  <c r="M59" i="20" s="1"/>
  <c r="E26" i="20"/>
  <c r="E31" i="20" s="1"/>
  <c r="M58" i="17"/>
  <c r="M57" i="17"/>
  <c r="M49" i="17"/>
  <c r="M48" i="17"/>
  <c r="M47" i="17"/>
  <c r="E20" i="17"/>
  <c r="E31" i="17" s="1"/>
  <c r="E13" i="17" s="1"/>
  <c r="E14" i="17" s="1"/>
  <c r="E15" i="17" s="1"/>
  <c r="F30" i="20" l="1"/>
  <c r="E13" i="20"/>
  <c r="E14" i="20" s="1"/>
  <c r="E15" i="20" s="1"/>
  <c r="M59" i="21"/>
  <c r="M59" i="17"/>
  <c r="B23" i="1"/>
  <c r="B18" i="1"/>
  <c r="F37" i="22" l="1"/>
  <c r="E37" i="22"/>
  <c r="D37" i="22"/>
  <c r="C37" i="22"/>
  <c r="D33" i="22"/>
  <c r="E33" i="22"/>
  <c r="F33" i="22"/>
  <c r="C33" i="22"/>
  <c r="H34" i="22" l="1"/>
  <c r="H35" i="22" s="1"/>
  <c r="H33" i="22"/>
  <c r="S54" i="1" l="1"/>
  <c r="P31" i="1" l="1"/>
  <c r="F11" i="14" l="1"/>
  <c r="F12" i="14"/>
  <c r="F13" i="14"/>
  <c r="F14" i="14"/>
  <c r="F15" i="14"/>
  <c r="F10" i="14"/>
  <c r="E10" i="14" l="1"/>
  <c r="C25" i="14" s="1"/>
  <c r="E11" i="14"/>
  <c r="C27" i="14" s="1"/>
  <c r="L27" i="14" s="1"/>
  <c r="E12" i="14"/>
  <c r="C29" i="14" s="1"/>
  <c r="E13" i="14"/>
  <c r="C31" i="14" s="1"/>
  <c r="G31" i="14" s="1"/>
  <c r="E14" i="14"/>
  <c r="C33" i="14" s="1"/>
  <c r="E15" i="14"/>
  <c r="C35" i="14" s="1"/>
  <c r="B17" i="14"/>
  <c r="F17" i="14"/>
  <c r="O25" i="14"/>
  <c r="O27" i="14"/>
  <c r="D27" i="14"/>
  <c r="D29" i="14"/>
  <c r="O29" i="14"/>
  <c r="D31" i="14"/>
  <c r="E37" i="14"/>
  <c r="P10" i="1"/>
  <c r="C40" i="1"/>
  <c r="B40" i="1" s="1"/>
  <c r="E40" i="1"/>
  <c r="D40" i="1" s="1"/>
  <c r="G40" i="1"/>
  <c r="F40" i="1" s="1"/>
  <c r="I40" i="1"/>
  <c r="H40" i="1" s="1"/>
  <c r="K40" i="1"/>
  <c r="J40" i="1" s="1"/>
  <c r="M40" i="1"/>
  <c r="L40" i="1" s="1"/>
  <c r="O40" i="1"/>
  <c r="N40" i="1" s="1"/>
  <c r="P15" i="1"/>
  <c r="P40" i="1" s="1"/>
  <c r="C19" i="1"/>
  <c r="E19" i="1"/>
  <c r="G19" i="1"/>
  <c r="I19" i="1"/>
  <c r="K19" i="1"/>
  <c r="M19" i="1"/>
  <c r="O19" i="1"/>
  <c r="P19" i="1"/>
  <c r="C20" i="1"/>
  <c r="E20" i="1"/>
  <c r="G20" i="1"/>
  <c r="I20" i="1"/>
  <c r="K20" i="1"/>
  <c r="M20" i="1"/>
  <c r="O20" i="1"/>
  <c r="P20" i="1"/>
  <c r="T57" i="1"/>
  <c r="T58" i="1"/>
  <c r="S59" i="1"/>
  <c r="T59" i="1"/>
  <c r="S57" i="1"/>
  <c r="G45" i="14" l="1"/>
  <c r="O31" i="14"/>
  <c r="D25" i="14"/>
  <c r="L43" i="14"/>
  <c r="S60" i="1"/>
  <c r="S61" i="1" s="1"/>
  <c r="B59" i="1"/>
  <c r="N57" i="1"/>
  <c r="O57" i="1" s="1"/>
  <c r="O36" i="1" s="1"/>
  <c r="N36" i="1" s="1"/>
  <c r="F59" i="1"/>
  <c r="G59" i="1" s="1"/>
  <c r="O21" i="1"/>
  <c r="G21" i="1"/>
  <c r="M16" i="1"/>
  <c r="T60" i="1"/>
  <c r="T61" i="1" s="1"/>
  <c r="K21" i="1"/>
  <c r="L57" i="1"/>
  <c r="M57" i="1" s="1"/>
  <c r="M36" i="1" s="1"/>
  <c r="L36" i="1" s="1"/>
  <c r="H58" i="1"/>
  <c r="I58" i="1" s="1"/>
  <c r="B57" i="1"/>
  <c r="J57" i="1"/>
  <c r="K57" i="1" s="1"/>
  <c r="K36" i="1" s="1"/>
  <c r="J36" i="1" s="1"/>
  <c r="B58" i="1"/>
  <c r="H57" i="1"/>
  <c r="I57" i="1" s="1"/>
  <c r="F57" i="1"/>
  <c r="G57" i="1" s="1"/>
  <c r="N59" i="1"/>
  <c r="O59" i="1" s="1"/>
  <c r="O38" i="1" s="1"/>
  <c r="N38" i="1" s="1"/>
  <c r="C21" i="1"/>
  <c r="F58" i="1"/>
  <c r="G58" i="1" s="1"/>
  <c r="F27" i="1" s="1"/>
  <c r="J58" i="1"/>
  <c r="K58" i="1" s="1"/>
  <c r="J27" i="1" s="1"/>
  <c r="D57" i="1"/>
  <c r="E57" i="1" s="1"/>
  <c r="O35" i="14"/>
  <c r="D35" i="14"/>
  <c r="H31" i="14"/>
  <c r="F31" i="14"/>
  <c r="I31" i="14"/>
  <c r="J31" i="14"/>
  <c r="L31" i="14"/>
  <c r="K31" i="14"/>
  <c r="L16" i="1"/>
  <c r="D16" i="1"/>
  <c r="F21" i="1"/>
  <c r="B21" i="1"/>
  <c r="H16" i="1"/>
  <c r="J16" i="1"/>
  <c r="J33" i="14"/>
  <c r="F33" i="14"/>
  <c r="G33" i="14"/>
  <c r="H33" i="14"/>
  <c r="L33" i="14"/>
  <c r="L46" i="14" s="1"/>
  <c r="K33" i="14"/>
  <c r="K46" i="14" s="1"/>
  <c r="I33" i="14"/>
  <c r="G29" i="14"/>
  <c r="G44" i="14" s="1"/>
  <c r="K29" i="14"/>
  <c r="K44" i="14" s="1"/>
  <c r="I29" i="14"/>
  <c r="I44" i="14" s="1"/>
  <c r="F29" i="14"/>
  <c r="J29" i="14"/>
  <c r="J44" i="14" s="1"/>
  <c r="L29" i="14"/>
  <c r="L44" i="14" s="1"/>
  <c r="H29" i="14"/>
  <c r="H44" i="14" s="1"/>
  <c r="E17" i="14"/>
  <c r="P23" i="1"/>
  <c r="D21" i="1"/>
  <c r="E21" i="1"/>
  <c r="N58" i="1"/>
  <c r="O58" i="1" s="1"/>
  <c r="O27" i="1" s="1"/>
  <c r="N27" i="1" s="1"/>
  <c r="D58" i="1"/>
  <c r="E58" i="1" s="1"/>
  <c r="D27" i="1" s="1"/>
  <c r="N16" i="1"/>
  <c r="F16" i="1"/>
  <c r="L21" i="1"/>
  <c r="M21" i="1"/>
  <c r="I16" i="1"/>
  <c r="L58" i="1"/>
  <c r="M58" i="1" s="1"/>
  <c r="P18" i="1"/>
  <c r="H21" i="1"/>
  <c r="I21" i="1"/>
  <c r="E16" i="1"/>
  <c r="O33" i="14"/>
  <c r="B37" i="14"/>
  <c r="B39" i="14" s="1"/>
  <c r="D33" i="14"/>
  <c r="H59" i="1"/>
  <c r="I59" i="1" s="1"/>
  <c r="N21" i="1"/>
  <c r="J21" i="1"/>
  <c r="G27" i="14"/>
  <c r="G43" i="14" s="1"/>
  <c r="E28" i="1" s="1"/>
  <c r="K27" i="14"/>
  <c r="K43" i="14" s="1"/>
  <c r="I27" i="14"/>
  <c r="I43" i="14" s="1"/>
  <c r="I28" i="1" s="1"/>
  <c r="F27" i="14"/>
  <c r="J27" i="14"/>
  <c r="L59" i="1"/>
  <c r="M59" i="1" s="1"/>
  <c r="M38" i="1" s="1"/>
  <c r="L38" i="1" s="1"/>
  <c r="D59" i="1"/>
  <c r="E59" i="1" s="1"/>
  <c r="H27" i="14"/>
  <c r="J59" i="1"/>
  <c r="K59" i="1" s="1"/>
  <c r="K38" i="1" s="1"/>
  <c r="J38" i="1" s="1"/>
  <c r="P57" i="1" l="1"/>
  <c r="U57" i="1" s="1"/>
  <c r="C57" i="1"/>
  <c r="C36" i="1" s="1"/>
  <c r="B36" i="1" s="1"/>
  <c r="P38" i="1"/>
  <c r="P58" i="1"/>
  <c r="U58" i="1" s="1"/>
  <c r="P59" i="1"/>
  <c r="C59" i="1"/>
  <c r="C38" i="1" s="1"/>
  <c r="B38" i="1" s="1"/>
  <c r="M27" i="1"/>
  <c r="L27" i="1" s="1"/>
  <c r="C58" i="1"/>
  <c r="M28" i="1"/>
  <c r="L28" i="1" s="1"/>
  <c r="O28" i="1"/>
  <c r="N28" i="1" s="1"/>
  <c r="H28" i="1"/>
  <c r="D28" i="1"/>
  <c r="O37" i="14"/>
  <c r="L45" i="14"/>
  <c r="O30" i="1" s="1"/>
  <c r="N30" i="1" s="1"/>
  <c r="K45" i="14"/>
  <c r="M30" i="1" s="1"/>
  <c r="L30" i="1" s="1"/>
  <c r="F45" i="14"/>
  <c r="H45" i="14"/>
  <c r="J43" i="14"/>
  <c r="K28" i="1" s="1"/>
  <c r="J45" i="14"/>
  <c r="K30" i="1" s="1"/>
  <c r="J30" i="1" s="1"/>
  <c r="H43" i="14"/>
  <c r="G28" i="1" s="1"/>
  <c r="I45" i="14"/>
  <c r="P21" i="1"/>
  <c r="F25" i="1"/>
  <c r="F60" i="1"/>
  <c r="B60" i="1"/>
  <c r="D25" i="1"/>
  <c r="M25" i="1"/>
  <c r="H25" i="1"/>
  <c r="M31" i="14"/>
  <c r="M35" i="14"/>
  <c r="L25" i="1"/>
  <c r="N25" i="1"/>
  <c r="E25" i="1"/>
  <c r="G16" i="1"/>
  <c r="G25" i="1" s="1"/>
  <c r="I25" i="1"/>
  <c r="O16" i="1"/>
  <c r="O25" i="1" s="1"/>
  <c r="M29" i="14"/>
  <c r="F44" i="14"/>
  <c r="I46" i="14"/>
  <c r="G46" i="14"/>
  <c r="E30" i="1" s="1"/>
  <c r="J25" i="1"/>
  <c r="M27" i="14"/>
  <c r="F43" i="14"/>
  <c r="L60" i="1"/>
  <c r="N60" i="1"/>
  <c r="D60" i="1"/>
  <c r="F46" i="14"/>
  <c r="M33" i="14"/>
  <c r="U59" i="1"/>
  <c r="G25" i="14"/>
  <c r="K25" i="14"/>
  <c r="C37" i="14"/>
  <c r="I25" i="14"/>
  <c r="F25" i="14"/>
  <c r="J25" i="14"/>
  <c r="L25" i="14"/>
  <c r="H25" i="14"/>
  <c r="H46" i="14"/>
  <c r="K16" i="1"/>
  <c r="K25" i="1" s="1"/>
  <c r="J60" i="1"/>
  <c r="H60" i="1"/>
  <c r="C27" i="1" l="1"/>
  <c r="B27" i="1" s="1"/>
  <c r="P27" i="1" s="1"/>
  <c r="D30" i="1"/>
  <c r="E39" i="1"/>
  <c r="D39" i="1" s="1"/>
  <c r="I30" i="1"/>
  <c r="H30" i="1" s="1"/>
  <c r="G30" i="1"/>
  <c r="F30" i="1" s="1"/>
  <c r="C30" i="1"/>
  <c r="B30" i="1" s="1"/>
  <c r="M37" i="1"/>
  <c r="L37" i="1" s="1"/>
  <c r="O37" i="1"/>
  <c r="O39" i="1" s="1"/>
  <c r="N39" i="1" s="1"/>
  <c r="C28" i="1"/>
  <c r="J28" i="1"/>
  <c r="K37" i="1"/>
  <c r="D37" i="1"/>
  <c r="B28" i="1"/>
  <c r="F28" i="1"/>
  <c r="U60" i="1"/>
  <c r="U61" i="1" s="1"/>
  <c r="I42" i="14"/>
  <c r="I29" i="1" s="1"/>
  <c r="I37" i="14"/>
  <c r="H63" i="1" s="1"/>
  <c r="J42" i="14"/>
  <c r="K29" i="1" s="1"/>
  <c r="J37" i="14"/>
  <c r="J63" i="1" s="1"/>
  <c r="K37" i="14"/>
  <c r="L63" i="1" s="1"/>
  <c r="K42" i="14"/>
  <c r="M29" i="1" s="1"/>
  <c r="P60" i="1"/>
  <c r="P14" i="1"/>
  <c r="P36" i="1" s="1"/>
  <c r="F42" i="14"/>
  <c r="C29" i="1" s="1"/>
  <c r="B29" i="1" s="1"/>
  <c r="M25" i="14"/>
  <c r="F37" i="14"/>
  <c r="G42" i="14"/>
  <c r="E29" i="1" s="1"/>
  <c r="G37" i="14"/>
  <c r="D63" i="1" s="1"/>
  <c r="H42" i="14"/>
  <c r="G29" i="1" s="1"/>
  <c r="H37" i="14"/>
  <c r="F63" i="1" s="1"/>
  <c r="L42" i="14"/>
  <c r="O29" i="1" s="1"/>
  <c r="L37" i="14"/>
  <c r="N63" i="1" s="1"/>
  <c r="F29" i="1" l="1"/>
  <c r="G41" i="1"/>
  <c r="H29" i="1"/>
  <c r="I41" i="1"/>
  <c r="P28" i="1"/>
  <c r="N29" i="1"/>
  <c r="M39" i="1"/>
  <c r="L39" i="1" s="1"/>
  <c r="L29" i="1"/>
  <c r="D29" i="1"/>
  <c r="E41" i="1"/>
  <c r="J29" i="1"/>
  <c r="E32" i="1"/>
  <c r="D32" i="1" s="1"/>
  <c r="I39" i="1"/>
  <c r="H39" i="1" s="1"/>
  <c r="P30" i="1"/>
  <c r="P37" i="1" s="1"/>
  <c r="P39" i="1" s="1"/>
  <c r="C37" i="1"/>
  <c r="C39" i="1" s="1"/>
  <c r="B39" i="1" s="1"/>
  <c r="N37" i="1"/>
  <c r="F37" i="1"/>
  <c r="J37" i="1"/>
  <c r="K39" i="1"/>
  <c r="J39" i="1" s="1"/>
  <c r="P29" i="1"/>
  <c r="H32" i="1"/>
  <c r="H33" i="1"/>
  <c r="H48" i="1" s="1"/>
  <c r="H64" i="1" s="1"/>
  <c r="M32" i="1"/>
  <c r="M33" i="1" s="1"/>
  <c r="K32" i="1"/>
  <c r="K33" i="1" s="1"/>
  <c r="D33" i="1"/>
  <c r="O32" i="1"/>
  <c r="O33" i="1" s="1"/>
  <c r="C32" i="1"/>
  <c r="N55" i="1"/>
  <c r="F55" i="1"/>
  <c r="L55" i="1"/>
  <c r="D55" i="1"/>
  <c r="J55" i="1"/>
  <c r="B55" i="1"/>
  <c r="H55" i="1"/>
  <c r="C16" i="1"/>
  <c r="B16" i="1" s="1"/>
  <c r="G39" i="14"/>
  <c r="B63" i="1"/>
  <c r="K39" i="14"/>
  <c r="M37" i="14"/>
  <c r="F39" i="14"/>
  <c r="L39" i="14"/>
  <c r="J39" i="14"/>
  <c r="I39" i="14"/>
  <c r="H39" i="14"/>
  <c r="O41" i="1" l="1"/>
  <c r="K41" i="1"/>
  <c r="M41" i="1"/>
  <c r="B37" i="1"/>
  <c r="G39" i="1"/>
  <c r="F39" i="1" s="1"/>
  <c r="H37" i="1"/>
  <c r="C25" i="1"/>
  <c r="I34" i="1"/>
  <c r="H34" i="1"/>
  <c r="N32" i="1"/>
  <c r="N33" i="1"/>
  <c r="F32" i="1"/>
  <c r="F33" i="1"/>
  <c r="L32" i="1"/>
  <c r="J32" i="1"/>
  <c r="B32" i="1"/>
  <c r="B33" i="1"/>
  <c r="B34" i="1" s="1"/>
  <c r="I48" i="1"/>
  <c r="C34" i="1"/>
  <c r="D48" i="1"/>
  <c r="D64" i="1" s="1"/>
  <c r="P55" i="1"/>
  <c r="Q55" i="1" s="1"/>
  <c r="P63" i="1"/>
  <c r="P32" i="1" l="1"/>
  <c r="B25" i="1"/>
  <c r="P16" i="1"/>
  <c r="P25" i="1" s="1"/>
  <c r="O34" i="1"/>
  <c r="L33" i="1"/>
  <c r="L34" i="1" s="1"/>
  <c r="M34" i="1"/>
  <c r="I43" i="1"/>
  <c r="H43" i="1" s="1"/>
  <c r="H41" i="1"/>
  <c r="F48" i="1"/>
  <c r="F34" i="1"/>
  <c r="G34" i="1"/>
  <c r="J33" i="1"/>
  <c r="J34" i="1" s="1"/>
  <c r="K34" i="1"/>
  <c r="N34" i="1"/>
  <c r="N48" i="1"/>
  <c r="B48" i="1"/>
  <c r="B64" i="1" s="1"/>
  <c r="C41" i="1"/>
  <c r="E34" i="1"/>
  <c r="E48" i="1"/>
  <c r="D34" i="1"/>
  <c r="M43" i="1" l="1"/>
  <c r="L43" i="1" s="1"/>
  <c r="L41" i="1"/>
  <c r="B41" i="1"/>
  <c r="C43" i="1"/>
  <c r="B43" i="1" s="1"/>
  <c r="L48" i="1"/>
  <c r="J48" i="1"/>
  <c r="G48" i="1"/>
  <c r="F64" i="1"/>
  <c r="E43" i="1"/>
  <c r="D43" i="1" s="1"/>
  <c r="D41" i="1"/>
  <c r="N64" i="1"/>
  <c r="O48" i="1"/>
  <c r="G43" i="1"/>
  <c r="F43" i="1" s="1"/>
  <c r="F41" i="1"/>
  <c r="O43" i="1"/>
  <c r="N43" i="1" s="1"/>
  <c r="N41" i="1"/>
  <c r="K43" i="1"/>
  <c r="J43" i="1" s="1"/>
  <c r="J41" i="1"/>
  <c r="C48" i="1"/>
  <c r="P33" i="1"/>
  <c r="M48" i="1" l="1"/>
  <c r="L64" i="1"/>
  <c r="P48" i="1"/>
  <c r="P64" i="1" s="1"/>
  <c r="J64" i="1"/>
  <c r="K48" i="1"/>
  <c r="P34" i="1"/>
  <c r="P41" i="1"/>
  <c r="P43" i="1" l="1"/>
  <c r="D54" i="1"/>
  <c r="F54" i="1"/>
  <c r="J54" i="1"/>
  <c r="H54" i="1"/>
  <c r="L54" i="1"/>
  <c r="N54" i="1"/>
  <c r="B54" i="1"/>
  <c r="P54" i="1" l="1"/>
</calcChain>
</file>

<file path=xl/comments1.xml><?xml version="1.0" encoding="utf-8"?>
<comments xmlns="http://schemas.openxmlformats.org/spreadsheetml/2006/main">
  <authors>
    <author>Kimberly B Griffith</author>
    <author>kgriffit</author>
  </authors>
  <commentList>
    <comment ref="J25" authorId="0" shape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Used Aug 2016 net usage.  Third party customers usually overnnominate so used lower requirements.
</t>
        </r>
      </text>
    </comment>
    <comment ref="A28" authorId="1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St. Charles, Kirkwood</t>
        </r>
      </text>
    </comment>
    <comment ref="S54" authorId="1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of NNS</t>
        </r>
      </text>
    </comment>
  </commentList>
</comments>
</file>

<file path=xl/sharedStrings.xml><?xml version="1.0" encoding="utf-8"?>
<sst xmlns="http://schemas.openxmlformats.org/spreadsheetml/2006/main" count="1434" uniqueCount="252">
  <si>
    <t>% full</t>
  </si>
  <si>
    <t>amount</t>
  </si>
  <si>
    <t>to inject</t>
  </si>
  <si>
    <t>All Volumes MMBTU</t>
  </si>
  <si>
    <t>Texas Gas Area</t>
  </si>
  <si>
    <t>Monthly</t>
  </si>
  <si>
    <t>Daily</t>
  </si>
  <si>
    <t>Total</t>
  </si>
  <si>
    <t>Zone 3</t>
  </si>
  <si>
    <t>Zone 4</t>
  </si>
  <si>
    <t>Total Purchases</t>
  </si>
  <si>
    <t>Note 1:     Purchases include planned storage injection quantities</t>
  </si>
  <si>
    <t>Z2</t>
  </si>
  <si>
    <t>Z3</t>
  </si>
  <si>
    <t>Z4</t>
  </si>
  <si>
    <t>Capacities</t>
  </si>
  <si>
    <t>Company Owned</t>
  </si>
  <si>
    <t>Planned Req.</t>
  </si>
  <si>
    <t>Texas Gas Req</t>
  </si>
  <si>
    <t>Trunkline Req</t>
  </si>
  <si>
    <t>Total Req</t>
  </si>
  <si>
    <t>ANR Req</t>
  </si>
  <si>
    <t>Midwest  Req</t>
  </si>
  <si>
    <t>Total Storage Injections</t>
  </si>
  <si>
    <t>Total Texas Gas Purchases</t>
  </si>
  <si>
    <t>Total Trunkline Purchases</t>
  </si>
  <si>
    <t>Total ANR Purchases</t>
  </si>
  <si>
    <t>NNS Zone 2</t>
  </si>
  <si>
    <t>NNS Zone 3</t>
  </si>
  <si>
    <t>NNS Zone 4</t>
  </si>
  <si>
    <t xml:space="preserve">   NNS Total</t>
  </si>
  <si>
    <t>NNS</t>
  </si>
  <si>
    <t>Trunkline</t>
  </si>
  <si>
    <t>MSQ</t>
  </si>
  <si>
    <t>April</t>
  </si>
  <si>
    <t>May</t>
  </si>
  <si>
    <t>June</t>
  </si>
  <si>
    <t>July</t>
  </si>
  <si>
    <t>August</t>
  </si>
  <si>
    <t>September</t>
  </si>
  <si>
    <t>October</t>
  </si>
  <si>
    <t>Apr</t>
  </si>
  <si>
    <t>Aug</t>
  </si>
  <si>
    <t>Sept</t>
  </si>
  <si>
    <t>Oct</t>
  </si>
  <si>
    <t>Ending Oct. 31</t>
  </si>
  <si>
    <t>NNS Storage</t>
  </si>
  <si>
    <t>Co-owned storage</t>
  </si>
  <si>
    <t>DTH</t>
  </si>
  <si>
    <t>Nov 1st</t>
  </si>
  <si>
    <t>Mar 31</t>
  </si>
  <si>
    <t>Bon Harbor</t>
  </si>
  <si>
    <t>Grandview</t>
  </si>
  <si>
    <t>Hickory</t>
  </si>
  <si>
    <t>Kirkwood</t>
  </si>
  <si>
    <t>St. Charles</t>
  </si>
  <si>
    <t>E. Diamond</t>
  </si>
  <si>
    <t>Available MDWQ high:</t>
  </si>
  <si>
    <t>Available MDWQ low:</t>
  </si>
  <si>
    <t>Beg. Bal. Apr 1</t>
  </si>
  <si>
    <t>Atmos Energy Corporation</t>
  </si>
  <si>
    <t xml:space="preserve">Kentucky Gas Supply Seasonal Plan </t>
  </si>
  <si>
    <t>January</t>
  </si>
  <si>
    <t>February</t>
  </si>
  <si>
    <t>March</t>
  </si>
  <si>
    <t>November</t>
  </si>
  <si>
    <t>December</t>
  </si>
  <si>
    <t>Pipeline</t>
  </si>
  <si>
    <t xml:space="preserve">Target ending </t>
  </si>
  <si>
    <t>inventory percent</t>
  </si>
  <si>
    <t/>
  </si>
  <si>
    <t>Business Unit</t>
  </si>
  <si>
    <t>Kentucky Mid-States</t>
  </si>
  <si>
    <t>Design Day Dth @ 95 % Confidence Level</t>
  </si>
  <si>
    <t>Time Period</t>
  </si>
  <si>
    <t>Design Day HDD</t>
  </si>
  <si>
    <t>Design Day Forecast DTH</t>
  </si>
  <si>
    <t>Load Study Name</t>
  </si>
  <si>
    <t>Tex Gas Zone 2, KY</t>
  </si>
  <si>
    <t>Regression R-squared</t>
  </si>
  <si>
    <t>Weather Station</t>
  </si>
  <si>
    <t>PAH - Paducah, KY</t>
  </si>
  <si>
    <t>Standard Error</t>
  </si>
  <si>
    <t>Design Day HDD Method</t>
  </si>
  <si>
    <t>Std Error Adj @ 95%</t>
  </si>
  <si>
    <t>Dataset Peak HDD</t>
  </si>
  <si>
    <t>Peak DTH</t>
  </si>
  <si>
    <t>Design Day Forecast Model</t>
  </si>
  <si>
    <t>Atmos Winter Only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</si>
  <si>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</si>
  <si>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</si>
  <si>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</si>
  <si>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</si>
  <si>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</si>
  <si>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</si>
  <si>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</si>
  <si>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</si>
  <si>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</si>
  <si>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</si>
  <si>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</si>
  <si>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</si>
  <si>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</si>
  <si>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</si>
  <si>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</si>
  <si>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</si>
  <si>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</si>
  <si>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</si>
  <si>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</si>
  <si>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Reserve Margin</t>
  </si>
  <si>
    <t>Annual Requirements DTH</t>
  </si>
  <si>
    <t>Final Delivery Capacity DTH</t>
  </si>
  <si>
    <t>Winter Requirements DTH</t>
  </si>
  <si>
    <t>Reserve Capacity DTH</t>
  </si>
  <si>
    <t>Reserve Capacity %</t>
  </si>
  <si>
    <t>Summary of Final Delivery Capacity</t>
  </si>
  <si>
    <t>Contract # &amp; Description</t>
  </si>
  <si>
    <t>MDQ Dth</t>
  </si>
  <si>
    <t>Notes</t>
  </si>
  <si>
    <t>FT 14573</t>
  </si>
  <si>
    <t>Texas Gas</t>
  </si>
  <si>
    <t>NNS N-0210 Zone 2 #29760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</si>
  <si>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</si>
  <si>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</si>
  <si>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</si>
  <si>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</si>
  <si>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</si>
  <si>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</si>
  <si>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</si>
  <si>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</si>
  <si>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</si>
  <si>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</si>
  <si>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Atmos</t>
  </si>
  <si>
    <t>Atmos Company Owned Storage</t>
  </si>
  <si>
    <t>Volume for Company storage withdrawal is purely an estimate.  It will really</t>
  </si>
  <si>
    <t>depend on how the agent has gas on that day, where the levels of the fields are,</t>
  </si>
  <si>
    <t xml:space="preserve">and how hard the fields have been pulling on previous days. </t>
  </si>
  <si>
    <t>ANR</t>
  </si>
  <si>
    <t>Tex Gas Zone 3 South, KY</t>
  </si>
  <si>
    <t>BWG - Bowling Green, KY</t>
  </si>
  <si>
    <t>Tex Gas Zone 4, KY</t>
  </si>
  <si>
    <t>SDF - Louisville, KY</t>
  </si>
  <si>
    <t>Expires 3/31/2017</t>
  </si>
  <si>
    <t>FTS-1 #122803-KY</t>
  </si>
  <si>
    <t>MDIQ</t>
  </si>
  <si>
    <t>If balance is .44 Bcf or less (&lt;25%)</t>
  </si>
  <si>
    <t>If balance is .88 Bcf to 1.75 Bcf (50% - 100%)</t>
  </si>
  <si>
    <t>If balance is .44 Bcf to .88 Bcf (25% - 50%)</t>
  </si>
  <si>
    <t>Daily Inj</t>
  </si>
  <si>
    <t>Owensboro Storage Group Injections via TGT (Grandview, Hickory)</t>
  </si>
  <si>
    <t xml:space="preserve">Madisonville Storage Group Injections via TGT (Kirkwood, St Charles) </t>
  </si>
  <si>
    <t>East Diamond Storage Injection via ANR Fayetteville FTS-1 ML-2 to ML-2</t>
  </si>
  <si>
    <t xml:space="preserve">East Diamond Storage Injection via ANR FTS-1  SE to ML-2 </t>
  </si>
  <si>
    <t xml:space="preserve">  Texas Gas Purchase Zone 2</t>
  </si>
  <si>
    <t xml:space="preserve">  Texas Gas Purchase Zone 3</t>
  </si>
  <si>
    <t xml:space="preserve">  Texas Gas Purchase Zone 4</t>
  </si>
  <si>
    <t>4/1</t>
  </si>
  <si>
    <t>Estimated NNS Storage Injections Zones 2, 3 and 4</t>
  </si>
  <si>
    <t>Behind gate storage injections  - Zone 3</t>
  </si>
  <si>
    <t>Z2 MSQ</t>
  </si>
  <si>
    <t>Z3 MSQ</t>
  </si>
  <si>
    <t>Z4 MSQ</t>
  </si>
  <si>
    <t>Beg Balance</t>
  </si>
  <si>
    <t>check figure for behind gate - should be 0</t>
  </si>
  <si>
    <t>TOTAL REQUIREMENTS</t>
  </si>
  <si>
    <t>Zone 2 *</t>
  </si>
  <si>
    <t>* The Zone 2 summer requirements can be provided operationally all on Texas Gas Zn 2 deliveries.</t>
  </si>
  <si>
    <t>Expires 10/31/2020</t>
  </si>
  <si>
    <t>All Data Model</t>
  </si>
  <si>
    <t>FT 29759 Zone 3</t>
  </si>
  <si>
    <t>NNS 29762 Zone 3</t>
  </si>
  <si>
    <t>Level of NNS storage does ratchet.  Expires 10/31/20</t>
  </si>
  <si>
    <t>FT 34380 Zone 3</t>
  </si>
  <si>
    <t>Released to KY Expires 3/31/19</t>
  </si>
  <si>
    <t>Three Year Minimum Model</t>
  </si>
  <si>
    <t>FT 31097 Zone 4</t>
  </si>
  <si>
    <t>Expires 10/31/20</t>
  </si>
  <si>
    <t>NNS 29763 Zone 4</t>
  </si>
  <si>
    <t>Zn 2</t>
  </si>
  <si>
    <t>Zn 3 N</t>
  </si>
  <si>
    <t>Zn 3 S</t>
  </si>
  <si>
    <t>Zn 4</t>
  </si>
  <si>
    <t>TOTAL</t>
  </si>
  <si>
    <t>short term</t>
  </si>
  <si>
    <t>normal</t>
  </si>
  <si>
    <t>Owensboro Storage Group Injections via ANR (Bon Harbor) ML-2 to ML-3</t>
  </si>
  <si>
    <t>East Diamond Storage Injections ANR Delivered to ML-2</t>
  </si>
  <si>
    <t>Tex Gas Zone 3 North, KY</t>
  </si>
  <si>
    <t>EVV - Evansville, KY</t>
  </si>
  <si>
    <t>daily</t>
  </si>
  <si>
    <t>Summer 2017</t>
  </si>
  <si>
    <t>2016 - 2017 Design Day and RFP Plan Summary</t>
  </si>
  <si>
    <t>2016 - 2017 Normalized Sales Requirements Summary Excluding Transportation</t>
  </si>
  <si>
    <t>File Last Updated:    June 06, 2016   4:59 PM</t>
  </si>
  <si>
    <t>Atmos Winter Only Model Used.  Data Sample: 03/25/2005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</si>
  <si>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1-IN-30 Design Day</t>
  </si>
  <si>
    <t>1-IN-30 Prior Day</t>
  </si>
  <si>
    <t>One in Thirty Occurrence</t>
  </si>
  <si>
    <t>Data Sample: 03/25/2005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</si>
  <si>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Comments: 2015-2016 Des Day = 50,256 Dth Stability  Ann Rqmts = 3,317,240 Dth; Wtr Rqmts = 2,550,648 Dth; Ice Storm days deleted</t>
  </si>
  <si>
    <t>new Trunkline</t>
  </si>
  <si>
    <t>new</t>
  </si>
  <si>
    <t>new TGT</t>
  </si>
  <si>
    <t>borrow from Z3 &amp; Z4</t>
  </si>
  <si>
    <t>Use 1,500 of 6,328 Dth in Zones 4 and remainder Z2 &amp; Z3:  Expires 3/31/2018</t>
  </si>
  <si>
    <t>File Last Updated:    June 06, 2016   5:17 PM</t>
  </si>
  <si>
    <t>Atmos Winter Only Model Used.  Data Sample: 11/02/2002 04/01/2003 10/31/2003 04/01/2004 10/31/2004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</si>
  <si>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Data Sample: 11/02/2002 04/01/2003 10/31/2003 04/01/2004 10/31/2004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</si>
  <si>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Comments: 2015-2016 Des Day = 71,159 Dth All Data; Ann Rqmts = 4,427,079 Dth; Wtr Rqmts = 3,368,566 Dth; Ice Storm days deleted; Third Pty Obligation is North study stability</t>
  </si>
  <si>
    <t>FT 34674 release from MS 32794)</t>
  </si>
  <si>
    <t>File Last Updated:    June 06, 2016   5:08 PM</t>
  </si>
  <si>
    <t>Atmos Winter Only Model Used.  Data Sample: 12/21/2004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</si>
  <si>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Data Sample: 12/21/2004 04/01/2005 10/31/2005 04/01/2006 10/31/2006 04/01/2007 10/31/2007 04/01/2008 10/31/2008 04/01/2009 10/31/2009 04/01/2010 10/31/2010 04/01/2011 10/31/2011 04/01/2012 10/31/2012 04/01/2013 10/31/2013 04/01/2014 10/31/2014 04/01/2015 10/31/2015 03/31/2016</t>
  </si>
  <si>
    <t>Comments: 2015-2016 Des Day = 117,931 Dth Stability; Ann Rqmts = 7,674,479 Dth; Wtr Rqmts = 5,782,303 Dth; Ice Storm and bad data days deleted; Third Pty Ob = South study all data</t>
  </si>
  <si>
    <t>Use 1,400 of 6,328 Dth in Zones 4 and remainder in zone 3:  Expires 3/31/2018</t>
  </si>
  <si>
    <t>File Last Updated:    June 06, 2016   5:24 PM</t>
  </si>
  <si>
    <t>Atmos Winter Only Model Used.  Data Sample: 10/31/2013 04/01/2014 10/31/2014 04/01/2015 10/31/2015 03/31/2016</t>
  </si>
  <si>
    <t>Data Sample: 10/31/2013 04/01/2014 10/31/2014 04/01/2015 10/31/2015 03/31/2016</t>
  </si>
  <si>
    <t>Comments: 2015-2016 Des Day = 20,752 Dth 3 year; Ann Rqmts = 1,180,967 Dth; Wtr Rqmts = 930,488 Dth; Ice Storm days deleted</t>
  </si>
  <si>
    <t>Use 1,500 in Zone 4 and 4,828 remainder in Zones 2 &amp; 3:  Expires 3/31/2018</t>
  </si>
  <si>
    <t>75% of normal</t>
  </si>
  <si>
    <t xml:space="preserve"> MSQ</t>
  </si>
  <si>
    <t>we went into April planing on being</t>
  </si>
  <si>
    <t xml:space="preserve">for ANR delivered supply.  Will analyze and maybe purchase  </t>
  </si>
  <si>
    <t>93.5% full in East Diamond until we could compare the price</t>
  </si>
  <si>
    <t>ANR delivered supply at a later month in the summer to make</t>
  </si>
  <si>
    <t>up the 1.5% shortfall of being at 95%.</t>
  </si>
  <si>
    <t>used June Fred Normal per BB</t>
  </si>
  <si>
    <t>REVISED</t>
  </si>
  <si>
    <t>TARGET</t>
  </si>
  <si>
    <t>amt to inject</t>
  </si>
  <si>
    <t>Estimated July ending balance</t>
  </si>
  <si>
    <t>in August</t>
  </si>
  <si>
    <t>Use 3,800 of 6,328 Dth in Zone 2 remainder in Zone 3&amp;4:  Expires 3/31/2018</t>
  </si>
  <si>
    <t>Expires 3/31/2020</t>
  </si>
  <si>
    <t>Comments: 2016-2017 Des Day = 53,671 Dth Stability  Ann Rqmts = 3,294,644 Dth; Wtr Rqmts = 2,524,866 Dth; Ice Storm days deleted</t>
  </si>
  <si>
    <t>10/31/2013 04/01/2014 10/31/2014 04/01/2015 10/31/2015 04/01/2016 10/31/2016 03/31/2017</t>
  </si>
  <si>
    <t>Atmos Winter Only Model Used.  10/31/2013 04/01/2014 10/31/2014 04/01/2015 10/31/2015 04/01/2016 10/31/2016 03/31/2017</t>
  </si>
  <si>
    <t>File Last Updated:    June 21, 2017   12:29 PM</t>
  </si>
  <si>
    <t>2017 - 2018 Normalized Sales Requirements Summary Excluding Transportation</t>
  </si>
  <si>
    <t>2017 - 2018 Design Day and RFP Plan Summary</t>
  </si>
  <si>
    <t>File Last Updated:    June 21, 2017   12:15 PM</t>
  </si>
  <si>
    <t>Comments: 2016-2017 Des Day = 125,148 Dth Stability; Ann Rqmts = 7,623,773 Dth; Wtr Rqmts = 5,732,755 Dth; Ice Storm and bad data days deleted; Third Pty Ob = South study all data</t>
  </si>
  <si>
    <t>Use 1,028 of 6,328 Dth in Zones 3 and remainder in Zone 2&amp;3:  Expires 3/31/2018</t>
  </si>
  <si>
    <t>STF 35772 Zone 3</t>
  </si>
  <si>
    <t>Expires 3/31/2019</t>
  </si>
  <si>
    <t>File Last Updated:    June 07, 2017   3:05 PM</t>
  </si>
  <si>
    <t>Comments: 2016-2017 Des Day = 74,487 Dth All Data; Ann Rqmts = 4,403,022 Dth; Wtr Rqmts = 3,341,585 Dth; Ice Storm days deleted; Third Pty Obligation is North study</t>
  </si>
  <si>
    <t>File Last Updated:    June 21, 2017   10:42 AM</t>
  </si>
  <si>
    <t>Comments: 2016-2017 Des Day = 19,814 Dth 3 year; Ann Rqmts = 1,208,647 Dth; Wtr Rqmts = 944,283 Dth; Ice Storm days deleted</t>
  </si>
  <si>
    <t>Use 1,500 in Zone 4 and remainder in Zones 2 &amp; 3:  Expires 3/31/2018</t>
  </si>
  <si>
    <t xml:space="preserve">Due to St. Charles maintenance, first 9 days 0 and </t>
  </si>
  <si>
    <t>10th-31st, 8,487.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</si>
</sst>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_)"/>
    <numFmt numFmtId="168" formatCode="mm/dd/yyyy"/>
    <numFmt numFmtId="169" formatCode="0.00%;[Red]\(0.00%\)"/>
    <numFmt numFmtId="170" formatCode="#,##0;[Red]#,##0"/>
    <numFmt numFmtId="171" formatCode="0.000"/>
    <numFmt numFmtId="172" formatCode="0.000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4"/>
      <color rgb="FF0066FF"/>
      <name val="Arial"/>
      <family val="2"/>
    </font>
    <font>
      <b/>
      <sz val="11"/>
      <color rgb="FF0066FF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">
    <xf numFmtId="0" fontId="0" fillId="0" borderId="0"/>
    <xf numFmtId="0" fontId="17" fillId="2" borderId="0" applyNumberFormat="0" applyBorder="0" applyAlignment="0" applyProtection="0"/>
    <xf numFmtId="0" fontId="34" fillId="2" borderId="0" applyNumberFormat="0" applyBorder="0" applyAlignment="0" applyProtection="0"/>
    <xf numFmtId="0" fontId="17" fillId="3" borderId="0" applyNumberFormat="0" applyBorder="0" applyAlignment="0" applyProtection="0"/>
    <xf numFmtId="0" fontId="34" fillId="3" borderId="0" applyNumberFormat="0" applyBorder="0" applyAlignment="0" applyProtection="0"/>
    <xf numFmtId="0" fontId="17" fillId="4" borderId="0" applyNumberFormat="0" applyBorder="0" applyAlignment="0" applyProtection="0"/>
    <xf numFmtId="0" fontId="34" fillId="4" borderId="0" applyNumberFormat="0" applyBorder="0" applyAlignment="0" applyProtection="0"/>
    <xf numFmtId="0" fontId="17" fillId="5" borderId="0" applyNumberFormat="0" applyBorder="0" applyAlignment="0" applyProtection="0"/>
    <xf numFmtId="0" fontId="34" fillId="5" borderId="0" applyNumberFormat="0" applyBorder="0" applyAlignment="0" applyProtection="0"/>
    <xf numFmtId="0" fontId="17" fillId="6" borderId="0" applyNumberFormat="0" applyBorder="0" applyAlignment="0" applyProtection="0"/>
    <xf numFmtId="0" fontId="34" fillId="6" borderId="0" applyNumberFormat="0" applyBorder="0" applyAlignment="0" applyProtection="0"/>
    <xf numFmtId="0" fontId="17" fillId="7" borderId="0" applyNumberFormat="0" applyBorder="0" applyAlignment="0" applyProtection="0"/>
    <xf numFmtId="0" fontId="34" fillId="7" borderId="0" applyNumberFormat="0" applyBorder="0" applyAlignment="0" applyProtection="0"/>
    <xf numFmtId="0" fontId="17" fillId="8" borderId="0" applyNumberFormat="0" applyBorder="0" applyAlignment="0" applyProtection="0"/>
    <xf numFmtId="0" fontId="34" fillId="8" borderId="0" applyNumberFormat="0" applyBorder="0" applyAlignment="0" applyProtection="0"/>
    <xf numFmtId="0" fontId="17" fillId="9" borderId="0" applyNumberFormat="0" applyBorder="0" applyAlignment="0" applyProtection="0"/>
    <xf numFmtId="0" fontId="34" fillId="9" borderId="0" applyNumberFormat="0" applyBorder="0" applyAlignment="0" applyProtection="0"/>
    <xf numFmtId="0" fontId="17" fillId="10" borderId="0" applyNumberFormat="0" applyBorder="0" applyAlignment="0" applyProtection="0"/>
    <xf numFmtId="0" fontId="34" fillId="10" borderId="0" applyNumberFormat="0" applyBorder="0" applyAlignment="0" applyProtection="0"/>
    <xf numFmtId="0" fontId="17" fillId="5" borderId="0" applyNumberFormat="0" applyBorder="0" applyAlignment="0" applyProtection="0"/>
    <xf numFmtId="0" fontId="34" fillId="5" borderId="0" applyNumberFormat="0" applyBorder="0" applyAlignment="0" applyProtection="0"/>
    <xf numFmtId="0" fontId="17" fillId="8" borderId="0" applyNumberFormat="0" applyBorder="0" applyAlignment="0" applyProtection="0"/>
    <xf numFmtId="0" fontId="34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11" borderId="0" applyNumberFormat="0" applyBorder="0" applyAlignment="0" applyProtection="0"/>
    <xf numFmtId="0" fontId="18" fillId="12" borderId="0" applyNumberFormat="0" applyBorder="0" applyAlignment="0" applyProtection="0"/>
    <xf numFmtId="0" fontId="42" fillId="12" borderId="0" applyNumberFormat="0" applyBorder="0" applyAlignment="0" applyProtection="0"/>
    <xf numFmtId="0" fontId="18" fillId="9" borderId="0" applyNumberFormat="0" applyBorder="0" applyAlignment="0" applyProtection="0"/>
    <xf numFmtId="0" fontId="42" fillId="9" borderId="0" applyNumberFormat="0" applyBorder="0" applyAlignment="0" applyProtection="0"/>
    <xf numFmtId="0" fontId="18" fillId="10" borderId="0" applyNumberFormat="0" applyBorder="0" applyAlignment="0" applyProtection="0"/>
    <xf numFmtId="0" fontId="42" fillId="10" borderId="0" applyNumberFormat="0" applyBorder="0" applyAlignment="0" applyProtection="0"/>
    <xf numFmtId="0" fontId="18" fillId="13" borderId="0" applyNumberFormat="0" applyBorder="0" applyAlignment="0" applyProtection="0"/>
    <xf numFmtId="0" fontId="42" fillId="13" borderId="0" applyNumberFormat="0" applyBorder="0" applyAlignment="0" applyProtection="0"/>
    <xf numFmtId="0" fontId="18" fillId="14" borderId="0" applyNumberFormat="0" applyBorder="0" applyAlignment="0" applyProtection="0"/>
    <xf numFmtId="0" fontId="42" fillId="14" borderId="0" applyNumberFormat="0" applyBorder="0" applyAlignment="0" applyProtection="0"/>
    <xf numFmtId="0" fontId="18" fillId="15" borderId="0" applyNumberFormat="0" applyBorder="0" applyAlignment="0" applyProtection="0"/>
    <xf numFmtId="0" fontId="42" fillId="15" borderId="0" applyNumberFormat="0" applyBorder="0" applyAlignment="0" applyProtection="0"/>
    <xf numFmtId="0" fontId="18" fillId="16" borderId="0" applyNumberFormat="0" applyBorder="0" applyAlignment="0" applyProtection="0"/>
    <xf numFmtId="0" fontId="42" fillId="16" borderId="0" applyNumberFormat="0" applyBorder="0" applyAlignment="0" applyProtection="0"/>
    <xf numFmtId="0" fontId="18" fillId="17" borderId="0" applyNumberFormat="0" applyBorder="0" applyAlignment="0" applyProtection="0"/>
    <xf numFmtId="0" fontId="42" fillId="17" borderId="0" applyNumberFormat="0" applyBorder="0" applyAlignment="0" applyProtection="0"/>
    <xf numFmtId="0" fontId="18" fillId="18" borderId="0" applyNumberFormat="0" applyBorder="0" applyAlignment="0" applyProtection="0"/>
    <xf numFmtId="0" fontId="42" fillId="18" borderId="0" applyNumberFormat="0" applyBorder="0" applyAlignment="0" applyProtection="0"/>
    <xf numFmtId="0" fontId="18" fillId="13" borderId="0" applyNumberFormat="0" applyBorder="0" applyAlignment="0" applyProtection="0"/>
    <xf numFmtId="0" fontId="42" fillId="13" borderId="0" applyNumberFormat="0" applyBorder="0" applyAlignment="0" applyProtection="0"/>
    <xf numFmtId="0" fontId="18" fillId="14" borderId="0" applyNumberFormat="0" applyBorder="0" applyAlignment="0" applyProtection="0"/>
    <xf numFmtId="0" fontId="42" fillId="14" borderId="0" applyNumberFormat="0" applyBorder="0" applyAlignment="0" applyProtection="0"/>
    <xf numFmtId="0" fontId="18" fillId="19" borderId="0" applyNumberFormat="0" applyBorder="0" applyAlignment="0" applyProtection="0"/>
    <xf numFmtId="0" fontId="42" fillId="19" borderId="0" applyNumberFormat="0" applyBorder="0" applyAlignment="0" applyProtection="0"/>
    <xf numFmtId="0" fontId="19" fillId="3" borderId="0" applyNumberFormat="0" applyBorder="0" applyAlignment="0" applyProtection="0"/>
    <xf numFmtId="0" fontId="43" fillId="3" borderId="0" applyNumberFormat="0" applyBorder="0" applyAlignment="0" applyProtection="0"/>
    <xf numFmtId="0" fontId="20" fillId="20" borderId="1" applyNumberFormat="0" applyAlignment="0" applyProtection="0"/>
    <xf numFmtId="0" fontId="44" fillId="20" borderId="1" applyNumberFormat="0" applyAlignment="0" applyProtection="0"/>
    <xf numFmtId="0" fontId="21" fillId="21" borderId="2" applyNumberFormat="0" applyAlignment="0" applyProtection="0"/>
    <xf numFmtId="0" fontId="45" fillId="21" borderId="2" applyNumberFormat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35" fillId="0" borderId="0">
      <alignment horizontal="left" vertical="center" indent="1"/>
    </xf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4" fillId="4" borderId="0" applyNumberFormat="0" applyBorder="0" applyAlignment="0" applyProtection="0"/>
    <xf numFmtId="0" fontId="24" fillId="0" borderId="3" applyNumberFormat="0" applyFill="0" applyAlignment="0" applyProtection="0"/>
    <xf numFmtId="0" fontId="47" fillId="0" borderId="3" applyNumberFormat="0" applyFill="0" applyAlignment="0" applyProtection="0"/>
    <xf numFmtId="0" fontId="25" fillId="0" borderId="4" applyNumberFormat="0" applyFill="0" applyAlignment="0" applyProtection="0"/>
    <xf numFmtId="0" fontId="48" fillId="0" borderId="4" applyNumberFormat="0" applyFill="0" applyAlignment="0" applyProtection="0"/>
    <xf numFmtId="0" fontId="26" fillId="0" borderId="5" applyNumberFormat="0" applyFill="0" applyAlignment="0" applyProtection="0"/>
    <xf numFmtId="0" fontId="49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7" borderId="1" applyNumberFormat="0" applyAlignment="0" applyProtection="0"/>
    <xf numFmtId="0" fontId="50" fillId="7" borderId="1" applyNumberFormat="0" applyAlignment="0" applyProtection="0"/>
    <xf numFmtId="0" fontId="28" fillId="0" borderId="6" applyNumberFormat="0" applyFill="0" applyAlignment="0" applyProtection="0"/>
    <xf numFmtId="0" fontId="51" fillId="0" borderId="6" applyNumberFormat="0" applyFill="0" applyAlignment="0" applyProtection="0"/>
    <xf numFmtId="0" fontId="29" fillId="22" borderId="0" applyNumberFormat="0" applyBorder="0" applyAlignment="0" applyProtection="0"/>
    <xf numFmtId="0" fontId="52" fillId="22" borderId="0" applyNumberFormat="0" applyBorder="0" applyAlignment="0" applyProtection="0"/>
    <xf numFmtId="167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23" borderId="7" applyNumberFormat="0" applyFont="0" applyAlignment="0" applyProtection="0"/>
    <xf numFmtId="0" fontId="30" fillId="20" borderId="8" applyNumberFormat="0" applyAlignment="0" applyProtection="0"/>
    <xf numFmtId="0" fontId="53" fillId="20" borderId="8" applyNumberFormat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4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549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4" xfId="0" applyFont="1" applyBorder="1"/>
    <xf numFmtId="0" fontId="5" fillId="0" borderId="17" xfId="0" applyFont="1" applyBorder="1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2" fillId="0" borderId="0" xfId="55" applyNumberFormat="1"/>
    <xf numFmtId="164" fontId="0" fillId="0" borderId="0" xfId="0" applyNumberFormat="1"/>
    <xf numFmtId="9" fontId="0" fillId="0" borderId="0" xfId="0" applyNumberFormat="1" applyAlignment="1">
      <alignment horizontal="center"/>
    </xf>
    <xf numFmtId="164" fontId="12" fillId="0" borderId="0" xfId="55" applyNumberFormat="1" applyFont="1"/>
    <xf numFmtId="164" fontId="0" fillId="0" borderId="0" xfId="55" applyNumberFormat="1" applyFont="1"/>
    <xf numFmtId="9" fontId="0" fillId="0" borderId="0" xfId="0" applyNumberFormat="1"/>
    <xf numFmtId="3" fontId="5" fillId="0" borderId="0" xfId="0" applyNumberFormat="1" applyFont="1"/>
    <xf numFmtId="9" fontId="0" fillId="0" borderId="0" xfId="108" applyFont="1"/>
    <xf numFmtId="9" fontId="2" fillId="0" borderId="0" xfId="108" applyBorder="1"/>
    <xf numFmtId="164" fontId="2" fillId="0" borderId="16" xfId="55" applyNumberFormat="1" applyBorder="1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9" fontId="12" fillId="0" borderId="0" xfId="0" applyNumberFormat="1" applyFont="1" applyAlignment="1">
      <alignment horizontal="center"/>
    </xf>
    <xf numFmtId="164" fontId="2" fillId="0" borderId="0" xfId="55" applyNumberFormat="1" applyFont="1"/>
    <xf numFmtId="9" fontId="12" fillId="0" borderId="0" xfId="108" applyFont="1" applyAlignment="1">
      <alignment horizontal="center"/>
    </xf>
    <xf numFmtId="164" fontId="0" fillId="0" borderId="0" xfId="0" applyNumberFormat="1" applyBorder="1"/>
    <xf numFmtId="9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55" applyNumberFormat="1" applyBorder="1"/>
    <xf numFmtId="164" fontId="14" fillId="0" borderId="0" xfId="55" applyNumberFormat="1" applyFont="1" applyBorder="1"/>
    <xf numFmtId="164" fontId="14" fillId="0" borderId="0" xfId="0" applyNumberFormat="1" applyFont="1" applyBorder="1"/>
    <xf numFmtId="164" fontId="5" fillId="0" borderId="0" xfId="55" applyNumberFormat="1" applyFont="1" applyBorder="1"/>
    <xf numFmtId="164" fontId="9" fillId="0" borderId="0" xfId="55" applyNumberFormat="1" applyFont="1" applyBorder="1"/>
    <xf numFmtId="164" fontId="2" fillId="0" borderId="0" xfId="55" applyNumberFormat="1" applyFont="1" applyBorder="1"/>
    <xf numFmtId="164" fontId="5" fillId="0" borderId="0" xfId="0" applyNumberFormat="1" applyFont="1" applyBorder="1"/>
    <xf numFmtId="9" fontId="12" fillId="0" borderId="0" xfId="0" applyNumberFormat="1" applyFont="1" applyBorder="1" applyAlignment="1">
      <alignment horizontal="left"/>
    </xf>
    <xf numFmtId="9" fontId="11" fillId="0" borderId="0" xfId="0" applyNumberFormat="1" applyFont="1" applyBorder="1" applyAlignment="1">
      <alignment horizontal="left"/>
    </xf>
    <xf numFmtId="164" fontId="15" fillId="0" borderId="0" xfId="55" applyNumberFormat="1" applyFont="1" applyBorder="1"/>
    <xf numFmtId="164" fontId="13" fillId="0" borderId="0" xfId="55" applyNumberFormat="1" applyFont="1" applyBorder="1"/>
    <xf numFmtId="0" fontId="16" fillId="0" borderId="0" xfId="0" applyFont="1"/>
    <xf numFmtId="164" fontId="12" fillId="0" borderId="16" xfId="55" applyNumberFormat="1" applyFont="1" applyBorder="1"/>
    <xf numFmtId="9" fontId="2" fillId="0" borderId="0" xfId="108" applyAlignment="1">
      <alignment horizontal="center"/>
    </xf>
    <xf numFmtId="164" fontId="2" fillId="0" borderId="0" xfId="55" applyNumberFormat="1" applyFont="1" applyFill="1"/>
    <xf numFmtId="164" fontId="2" fillId="0" borderId="0" xfId="55" applyNumberFormat="1" applyFont="1" applyAlignment="1">
      <alignment horizontal="center"/>
    </xf>
    <xf numFmtId="0" fontId="38" fillId="0" borderId="0" xfId="0" applyFont="1"/>
    <xf numFmtId="0" fontId="37" fillId="0" borderId="0" xfId="87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49" fontId="5" fillId="0" borderId="15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0" fontId="5" fillId="24" borderId="23" xfId="0" applyFont="1" applyFill="1" applyBorder="1"/>
    <xf numFmtId="0" fontId="5" fillId="24" borderId="19" xfId="0" applyFont="1" applyFill="1" applyBorder="1" applyAlignment="1">
      <alignment horizontal="centerContinuous"/>
    </xf>
    <xf numFmtId="0" fontId="5" fillId="24" borderId="22" xfId="0" applyFont="1" applyFill="1" applyBorder="1" applyAlignment="1">
      <alignment horizontal="centerContinuous"/>
    </xf>
    <xf numFmtId="0" fontId="5" fillId="24" borderId="21" xfId="0" applyFont="1" applyFill="1" applyBorder="1" applyAlignment="1">
      <alignment horizontal="centerContinuous"/>
    </xf>
    <xf numFmtId="0" fontId="5" fillId="24" borderId="20" xfId="0" applyFont="1" applyFill="1" applyBorder="1" applyAlignment="1">
      <alignment horizontal="center"/>
    </xf>
    <xf numFmtId="0" fontId="5" fillId="24" borderId="24" xfId="0" applyFont="1" applyFill="1" applyBorder="1"/>
    <xf numFmtId="0" fontId="5" fillId="24" borderId="10" xfId="0" applyFont="1" applyFill="1" applyBorder="1" applyAlignment="1">
      <alignment horizontal="left"/>
    </xf>
    <xf numFmtId="10" fontId="2" fillId="0" borderId="23" xfId="0" applyNumberFormat="1" applyFont="1" applyBorder="1" applyAlignment="1"/>
    <xf numFmtId="0" fontId="5" fillId="24" borderId="13" xfId="0" applyFont="1" applyFill="1" applyBorder="1"/>
    <xf numFmtId="0" fontId="5" fillId="24" borderId="14" xfId="0" applyFont="1" applyFill="1" applyBorder="1"/>
    <xf numFmtId="38" fontId="2" fillId="0" borderId="23" xfId="0" applyNumberFormat="1" applyFont="1" applyFill="1" applyBorder="1" applyAlignment="1">
      <alignment horizontal="center"/>
    </xf>
    <xf numFmtId="168" fontId="2" fillId="0" borderId="23" xfId="0" applyNumberFormat="1" applyFont="1" applyFill="1" applyBorder="1" applyAlignment="1">
      <alignment horizontal="center"/>
    </xf>
    <xf numFmtId="14" fontId="2" fillId="0" borderId="23" xfId="0" applyNumberFormat="1" applyFont="1" applyFill="1" applyBorder="1" applyAlignment="1">
      <alignment horizontal="center"/>
    </xf>
    <xf numFmtId="38" fontId="5" fillId="0" borderId="13" xfId="0" applyNumberFormat="1" applyFont="1" applyBorder="1" applyAlignment="1">
      <alignment horizontal="centerContinuous"/>
    </xf>
    <xf numFmtId="38" fontId="0" fillId="0" borderId="14" xfId="0" applyNumberFormat="1" applyBorder="1" applyAlignment="1">
      <alignment horizontal="centerContinuous"/>
    </xf>
    <xf numFmtId="0" fontId="5" fillId="24" borderId="13" xfId="0" applyFont="1" applyFill="1" applyBorder="1" applyAlignment="1">
      <alignment horizontal="left"/>
    </xf>
    <xf numFmtId="38" fontId="2" fillId="0" borderId="24" xfId="0" applyNumberFormat="1" applyFont="1" applyFill="1" applyBorder="1" applyAlignment="1">
      <alignment horizontal="right"/>
    </xf>
    <xf numFmtId="38" fontId="2" fillId="0" borderId="24" xfId="0" applyNumberFormat="1" applyFont="1" applyFill="1" applyBorder="1" applyAlignment="1">
      <alignment horizontal="center"/>
    </xf>
    <xf numFmtId="168" fontId="2" fillId="0" borderId="24" xfId="0" applyNumberFormat="1" applyFont="1" applyFill="1" applyBorder="1" applyAlignment="1">
      <alignment horizontal="center"/>
    </xf>
    <xf numFmtId="14" fontId="2" fillId="0" borderId="24" xfId="0" applyNumberFormat="1" applyFont="1" applyFill="1" applyBorder="1" applyAlignment="1">
      <alignment horizontal="center"/>
    </xf>
    <xf numFmtId="0" fontId="5" fillId="24" borderId="18" xfId="0" applyFont="1" applyFill="1" applyBorder="1"/>
    <xf numFmtId="168" fontId="5" fillId="24" borderId="2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8" fontId="2" fillId="0" borderId="24" xfId="0" applyNumberFormat="1" applyFont="1" applyBorder="1"/>
    <xf numFmtId="168" fontId="0" fillId="0" borderId="23" xfId="0" applyNumberFormat="1" applyBorder="1" applyAlignment="1">
      <alignment horizontal="center"/>
    </xf>
    <xf numFmtId="38" fontId="2" fillId="0" borderId="23" xfId="55" applyNumberFormat="1" applyFont="1" applyBorder="1" applyAlignment="1"/>
    <xf numFmtId="0" fontId="5" fillId="24" borderId="15" xfId="0" applyFont="1" applyFill="1" applyBorder="1"/>
    <xf numFmtId="0" fontId="5" fillId="24" borderId="17" xfId="0" applyFont="1" applyFill="1" applyBorder="1"/>
    <xf numFmtId="38" fontId="2" fillId="0" borderId="18" xfId="0" applyNumberFormat="1" applyFont="1" applyFill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38" fontId="2" fillId="0" borderId="18" xfId="55" applyNumberFormat="1" applyFont="1" applyBorder="1" applyAlignment="1"/>
    <xf numFmtId="0" fontId="40" fillId="24" borderId="23" xfId="0" applyFont="1" applyFill="1" applyBorder="1" applyAlignment="1">
      <alignment horizontal="centerContinuous" vertical="center"/>
    </xf>
    <xf numFmtId="0" fontId="5" fillId="24" borderId="19" xfId="0" applyFont="1" applyFill="1" applyBorder="1" applyAlignment="1">
      <alignment horizontal="centerContinuous" vertical="center"/>
    </xf>
    <xf numFmtId="0" fontId="5" fillId="24" borderId="22" xfId="0" applyFont="1" applyFill="1" applyBorder="1" applyAlignment="1">
      <alignment horizontal="centerContinuous" vertical="center"/>
    </xf>
    <xf numFmtId="0" fontId="5" fillId="24" borderId="21" xfId="0" applyFont="1" applyFill="1" applyBorder="1" applyAlignment="1">
      <alignment horizontal="centerContinuous" vertical="center"/>
    </xf>
    <xf numFmtId="0" fontId="5" fillId="24" borderId="0" xfId="0" applyFont="1" applyFill="1" applyBorder="1" applyAlignment="1">
      <alignment horizontal="left"/>
    </xf>
    <xf numFmtId="38" fontId="5" fillId="0" borderId="18" xfId="0" applyNumberFormat="1" applyFont="1" applyFill="1" applyBorder="1" applyAlignment="1">
      <alignment horizontal="right"/>
    </xf>
    <xf numFmtId="0" fontId="5" fillId="24" borderId="18" xfId="0" applyFont="1" applyFill="1" applyBorder="1" applyAlignment="1">
      <alignment horizontal="center"/>
    </xf>
    <xf numFmtId="38" fontId="2" fillId="24" borderId="21" xfId="0" applyNumberFormat="1" applyFont="1" applyFill="1" applyBorder="1" applyAlignment="1">
      <alignment horizontal="centerContinuous"/>
    </xf>
    <xf numFmtId="38" fontId="0" fillId="0" borderId="23" xfId="0" applyNumberFormat="1" applyBorder="1"/>
    <xf numFmtId="38" fontId="2" fillId="0" borderId="23" xfId="0" applyNumberFormat="1" applyFont="1" applyBorder="1"/>
    <xf numFmtId="38" fontId="2" fillId="0" borderId="23" xfId="0" applyNumberFormat="1" applyFont="1" applyFill="1" applyBorder="1" applyAlignment="1">
      <alignment horizontal="right"/>
    </xf>
    <xf numFmtId="0" fontId="5" fillId="24" borderId="23" xfId="0" applyFont="1" applyFill="1" applyBorder="1" applyAlignment="1">
      <alignment horizontal="left"/>
    </xf>
    <xf numFmtId="38" fontId="0" fillId="0" borderId="24" xfId="0" applyNumberFormat="1" applyBorder="1"/>
    <xf numFmtId="0" fontId="5" fillId="24" borderId="24" xfId="0" applyFont="1" applyFill="1" applyBorder="1" applyAlignment="1">
      <alignment horizontal="left"/>
    </xf>
    <xf numFmtId="169" fontId="5" fillId="0" borderId="24" xfId="0" applyNumberFormat="1" applyFont="1" applyBorder="1"/>
    <xf numFmtId="0" fontId="5" fillId="24" borderId="18" xfId="0" applyFont="1" applyFill="1" applyBorder="1" applyAlignment="1">
      <alignment horizontal="left"/>
    </xf>
    <xf numFmtId="169" fontId="2" fillId="0" borderId="18" xfId="0" applyNumberFormat="1" applyFont="1" applyBorder="1"/>
    <xf numFmtId="38" fontId="5" fillId="0" borderId="11" xfId="0" applyNumberFormat="1" applyFont="1" applyBorder="1"/>
    <xf numFmtId="0" fontId="5" fillId="0" borderId="11" xfId="0" applyFont="1" applyBorder="1"/>
    <xf numFmtId="0" fontId="2" fillId="0" borderId="23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8" fontId="2" fillId="0" borderId="11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4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8" fontId="2" fillId="0" borderId="0" xfId="0" applyNumberFormat="1" applyFont="1" applyBorder="1"/>
    <xf numFmtId="0" fontId="5" fillId="24" borderId="20" xfId="0" applyFont="1" applyFill="1" applyBorder="1" applyAlignment="1">
      <alignment horizontal="right"/>
    </xf>
    <xf numFmtId="41" fontId="5" fillId="24" borderId="20" xfId="0" applyNumberFormat="1" applyFont="1" applyFill="1" applyBorder="1"/>
    <xf numFmtId="0" fontId="5" fillId="0" borderId="10" xfId="0" applyFont="1" applyFill="1" applyBorder="1" applyAlignment="1">
      <alignment horizontal="right"/>
    </xf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0" fontId="2" fillId="0" borderId="18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38" fontId="2" fillId="0" borderId="16" xfId="0" applyNumberFormat="1" applyFont="1" applyBorder="1"/>
    <xf numFmtId="38" fontId="2" fillId="0" borderId="18" xfId="0" applyNumberFormat="1" applyFont="1" applyFill="1" applyBorder="1" applyAlignment="1">
      <alignment horizontal="right"/>
    </xf>
    <xf numFmtId="0" fontId="5" fillId="24" borderId="19" xfId="0" applyFont="1" applyFill="1" applyBorder="1" applyAlignment="1">
      <alignment horizontal="right"/>
    </xf>
    <xf numFmtId="0" fontId="5" fillId="24" borderId="22" xfId="0" applyFont="1" applyFill="1" applyBorder="1" applyAlignment="1">
      <alignment horizontal="right"/>
    </xf>
    <xf numFmtId="38" fontId="5" fillId="24" borderId="20" xfId="0" applyNumberFormat="1" applyFont="1" applyFill="1" applyBorder="1" applyAlignment="1">
      <alignment horizontal="right"/>
    </xf>
    <xf numFmtId="0" fontId="0" fillId="24" borderId="22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5" fillId="25" borderId="13" xfId="0" applyFont="1" applyFill="1" applyBorder="1" applyAlignment="1">
      <alignment horizontal="right"/>
    </xf>
    <xf numFmtId="0" fontId="5" fillId="25" borderId="0" xfId="0" applyFont="1" applyFill="1" applyBorder="1" applyAlignment="1">
      <alignment horizontal="right"/>
    </xf>
    <xf numFmtId="38" fontId="5" fillId="25" borderId="0" xfId="0" applyNumberFormat="1" applyFont="1" applyFill="1" applyBorder="1"/>
    <xf numFmtId="0" fontId="5" fillId="25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38" fontId="2" fillId="0" borderId="12" xfId="0" applyNumberFormat="1" applyFont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38" fontId="2" fillId="0" borderId="14" xfId="0" applyNumberFormat="1" applyFont="1" applyBorder="1"/>
    <xf numFmtId="38" fontId="2" fillId="0" borderId="17" xfId="0" applyNumberFormat="1" applyFont="1" applyBorder="1"/>
    <xf numFmtId="0" fontId="2" fillId="0" borderId="0" xfId="87" applyFont="1"/>
    <xf numFmtId="0" fontId="2" fillId="26" borderId="0" xfId="0" applyFont="1" applyFill="1" applyBorder="1" applyAlignment="1">
      <alignment horizontal="left"/>
    </xf>
    <xf numFmtId="0" fontId="3" fillId="0" borderId="0" xfId="0" applyFont="1" applyFill="1"/>
    <xf numFmtId="164" fontId="2" fillId="0" borderId="0" xfId="55" applyNumberFormat="1" applyFill="1"/>
    <xf numFmtId="164" fontId="0" fillId="26" borderId="0" xfId="55" applyNumberFormat="1" applyFont="1" applyFill="1"/>
    <xf numFmtId="9" fontId="11" fillId="0" borderId="0" xfId="108" applyFont="1"/>
    <xf numFmtId="9" fontId="12" fillId="26" borderId="0" xfId="108" applyFont="1" applyFill="1" applyAlignment="1">
      <alignment horizontal="center"/>
    </xf>
    <xf numFmtId="9" fontId="12" fillId="26" borderId="0" xfId="0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164" fontId="2" fillId="0" borderId="0" xfId="0" applyNumberFormat="1" applyFont="1"/>
    <xf numFmtId="3" fontId="56" fillId="0" borderId="13" xfId="0" applyNumberFormat="1" applyFont="1" applyFill="1" applyBorder="1"/>
    <xf numFmtId="3" fontId="56" fillId="0" borderId="0" xfId="0" applyNumberFormat="1" applyFont="1" applyFill="1" applyBorder="1"/>
    <xf numFmtId="3" fontId="56" fillId="0" borderId="24" xfId="0" applyNumberFormat="1" applyFont="1" applyFill="1" applyBorder="1"/>
    <xf numFmtId="0" fontId="2" fillId="0" borderId="24" xfId="0" applyFont="1" applyFill="1" applyBorder="1"/>
    <xf numFmtId="0" fontId="5" fillId="0" borderId="24" xfId="0" applyFont="1" applyBorder="1"/>
    <xf numFmtId="0" fontId="5" fillId="0" borderId="18" xfId="0" applyFont="1" applyFill="1" applyBorder="1"/>
    <xf numFmtId="0" fontId="2" fillId="26" borderId="24" xfId="0" applyFont="1" applyFill="1" applyBorder="1"/>
    <xf numFmtId="0" fontId="2" fillId="26" borderId="13" xfId="0" applyFont="1" applyFill="1" applyBorder="1" applyAlignment="1">
      <alignment horizontal="left"/>
    </xf>
    <xf numFmtId="38" fontId="2" fillId="26" borderId="0" xfId="0" applyNumberFormat="1" applyFont="1" applyFill="1" applyBorder="1"/>
    <xf numFmtId="0" fontId="2" fillId="26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38" fontId="2" fillId="0" borderId="0" xfId="0" applyNumberFormat="1" applyFont="1" applyFill="1" applyBorder="1"/>
    <xf numFmtId="164" fontId="2" fillId="0" borderId="16" xfId="55" applyNumberFormat="1" applyFont="1" applyBorder="1"/>
    <xf numFmtId="164" fontId="57" fillId="0" borderId="0" xfId="55" applyNumberFormat="1" applyFont="1"/>
    <xf numFmtId="38" fontId="0" fillId="0" borderId="0" xfId="0" applyNumberFormat="1"/>
    <xf numFmtId="0" fontId="5" fillId="0" borderId="0" xfId="0" applyFont="1" applyFill="1"/>
    <xf numFmtId="170" fontId="0" fillId="0" borderId="0" xfId="55" applyNumberFormat="1" applyFont="1"/>
    <xf numFmtId="0" fontId="5" fillId="24" borderId="21" xfId="0" applyFont="1" applyFill="1" applyBorder="1" applyAlignment="1">
      <alignment horizontal="center"/>
    </xf>
    <xf numFmtId="0" fontId="2" fillId="28" borderId="24" xfId="0" applyFont="1" applyFill="1" applyBorder="1"/>
    <xf numFmtId="0" fontId="2" fillId="28" borderId="13" xfId="0" applyFont="1" applyFill="1" applyBorder="1" applyAlignment="1">
      <alignment horizontal="left"/>
    </xf>
    <xf numFmtId="0" fontId="2" fillId="28" borderId="0" xfId="0" applyFont="1" applyFill="1" applyBorder="1" applyAlignment="1">
      <alignment horizontal="left"/>
    </xf>
    <xf numFmtId="38" fontId="2" fillId="28" borderId="0" xfId="0" applyNumberFormat="1" applyFont="1" applyFill="1" applyBorder="1"/>
    <xf numFmtId="38" fontId="2" fillId="28" borderId="24" xfId="0" applyNumberFormat="1" applyFont="1" applyFill="1" applyBorder="1" applyAlignment="1">
      <alignment horizontal="right"/>
    </xf>
    <xf numFmtId="38" fontId="37" fillId="0" borderId="0" xfId="87" applyNumberFormat="1"/>
    <xf numFmtId="38" fontId="37" fillId="0" borderId="29" xfId="87" applyNumberFormat="1" applyBorder="1"/>
    <xf numFmtId="38" fontId="2" fillId="0" borderId="0" xfId="0" applyNumberFormat="1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24" xfId="0" applyFont="1" applyBorder="1" applyAlignment="1">
      <alignment horizontal="left" indent="1"/>
    </xf>
    <xf numFmtId="3" fontId="2" fillId="0" borderId="0" xfId="0" applyNumberFormat="1" applyFont="1" applyFill="1" applyBorder="1"/>
    <xf numFmtId="3" fontId="2" fillId="0" borderId="13" xfId="0" applyNumberFormat="1" applyFont="1" applyFill="1" applyBorder="1"/>
    <xf numFmtId="3" fontId="2" fillId="0" borderId="24" xfId="0" applyNumberFormat="1" applyFont="1" applyFill="1" applyBorder="1"/>
    <xf numFmtId="0" fontId="2" fillId="0" borderId="18" xfId="0" applyFont="1" applyBorder="1" applyAlignment="1">
      <alignment horizontal="left" indent="1"/>
    </xf>
    <xf numFmtId="0" fontId="2" fillId="0" borderId="20" xfId="0" applyFont="1" applyBorder="1" applyAlignment="1">
      <alignment horizontal="left" indent="3"/>
    </xf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2" fillId="0" borderId="20" xfId="0" applyNumberFormat="1" applyFont="1" applyFill="1" applyBorder="1"/>
    <xf numFmtId="3" fontId="2" fillId="0" borderId="14" xfId="0" applyNumberFormat="1" applyFont="1" applyFill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3" fontId="2" fillId="0" borderId="24" xfId="0" applyNumberFormat="1" applyFont="1" applyBorder="1"/>
    <xf numFmtId="3" fontId="2" fillId="0" borderId="0" xfId="0" applyNumberFormat="1" applyFont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left" indent="2"/>
    </xf>
    <xf numFmtId="3" fontId="2" fillId="0" borderId="22" xfId="0" applyNumberFormat="1" applyFont="1" applyBorder="1"/>
    <xf numFmtId="3" fontId="2" fillId="0" borderId="21" xfId="0" applyNumberFormat="1" applyFont="1" applyBorder="1"/>
    <xf numFmtId="3" fontId="2" fillId="0" borderId="20" xfId="0" applyNumberFormat="1" applyFont="1" applyBorder="1"/>
    <xf numFmtId="14" fontId="2" fillId="0" borderId="0" xfId="0" applyNumberFormat="1" applyFont="1"/>
    <xf numFmtId="9" fontId="2" fillId="0" borderId="0" xfId="108" applyNumberFormat="1" applyFont="1"/>
    <xf numFmtId="165" fontId="2" fillId="0" borderId="0" xfId="108" applyNumberFormat="1" applyFont="1"/>
    <xf numFmtId="3" fontId="2" fillId="0" borderId="19" xfId="0" applyNumberFormat="1" applyFont="1" applyBorder="1"/>
    <xf numFmtId="0" fontId="2" fillId="0" borderId="24" xfId="0" applyFont="1" applyBorder="1" applyAlignment="1">
      <alignment horizontal="left" indent="2"/>
    </xf>
    <xf numFmtId="3" fontId="2" fillId="0" borderId="23" xfId="0" applyNumberFormat="1" applyFont="1" applyBorder="1"/>
    <xf numFmtId="165" fontId="2" fillId="0" borderId="0" xfId="0" applyNumberFormat="1" applyFont="1"/>
    <xf numFmtId="165" fontId="2" fillId="0" borderId="0" xfId="0" applyNumberFormat="1" applyFont="1" applyFill="1"/>
    <xf numFmtId="3" fontId="2" fillId="0" borderId="0" xfId="0" applyNumberFormat="1" applyFont="1" applyFill="1"/>
    <xf numFmtId="0" fontId="2" fillId="0" borderId="20" xfId="0" applyFont="1" applyBorder="1" applyAlignment="1">
      <alignment horizontal="left" indent="1"/>
    </xf>
    <xf numFmtId="3" fontId="2" fillId="0" borderId="13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18" xfId="0" applyNumberFormat="1" applyFont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166" fontId="2" fillId="0" borderId="0" xfId="0" applyNumberFormat="1" applyFont="1" applyFill="1"/>
    <xf numFmtId="164" fontId="2" fillId="0" borderId="0" xfId="55" applyNumberFormat="1" applyFont="1" applyFill="1" applyBorder="1"/>
    <xf numFmtId="9" fontId="2" fillId="0" borderId="0" xfId="108" applyFont="1" applyFill="1" applyBorder="1"/>
    <xf numFmtId="164" fontId="2" fillId="0" borderId="0" xfId="0" applyNumberFormat="1" applyFont="1" applyFill="1" applyBorder="1"/>
    <xf numFmtId="9" fontId="2" fillId="0" borderId="0" xfId="0" applyNumberFormat="1" applyFont="1" applyFill="1" applyBorder="1"/>
    <xf numFmtId="3" fontId="2" fillId="0" borderId="28" xfId="0" applyNumberFormat="1" applyFont="1" applyBorder="1"/>
    <xf numFmtId="9" fontId="56" fillId="0" borderId="0" xfId="108" applyFont="1" applyAlignment="1">
      <alignment horizontal="center"/>
    </xf>
    <xf numFmtId="9" fontId="2" fillId="0" borderId="0" xfId="108" applyFont="1"/>
    <xf numFmtId="0" fontId="2" fillId="0" borderId="16" xfId="0" applyFont="1" applyBorder="1" applyAlignment="1">
      <alignment horizontal="right"/>
    </xf>
    <xf numFmtId="164" fontId="2" fillId="0" borderId="16" xfId="0" applyNumberFormat="1" applyFont="1" applyBorder="1"/>
    <xf numFmtId="164" fontId="2" fillId="0" borderId="0" xfId="0" applyNumberFormat="1" applyFont="1" applyBorder="1"/>
    <xf numFmtId="16" fontId="2" fillId="0" borderId="0" xfId="0" quotePrefix="1" applyNumberFormat="1" applyFont="1"/>
    <xf numFmtId="9" fontId="2" fillId="0" borderId="0" xfId="0" applyNumberFormat="1" applyFont="1"/>
    <xf numFmtId="0" fontId="2" fillId="0" borderId="0" xfId="0" applyFont="1" applyFill="1" applyBorder="1" applyAlignment="1">
      <alignment horizontal="right"/>
    </xf>
    <xf numFmtId="164" fontId="2" fillId="0" borderId="0" xfId="55" applyNumberFormat="1" applyFont="1" applyAlignment="1">
      <alignment horizontal="right"/>
    </xf>
    <xf numFmtId="164" fontId="2" fillId="0" borderId="28" xfId="0" applyNumberFormat="1" applyFont="1" applyFill="1" applyBorder="1"/>
    <xf numFmtId="164" fontId="2" fillId="0" borderId="28" xfId="0" applyNumberFormat="1" applyFont="1" applyBorder="1"/>
    <xf numFmtId="171" fontId="2" fillId="0" borderId="0" xfId="0" applyNumberFormat="1" applyFont="1"/>
    <xf numFmtId="172" fontId="2" fillId="0" borderId="0" xfId="0" applyNumberFormat="1" applyFont="1"/>
    <xf numFmtId="10" fontId="0" fillId="0" borderId="0" xfId="108" applyNumberFormat="1" applyFont="1"/>
    <xf numFmtId="3" fontId="2" fillId="0" borderId="27" xfId="0" applyNumberFormat="1" applyFont="1" applyFill="1" applyBorder="1"/>
    <xf numFmtId="0" fontId="2" fillId="0" borderId="0" xfId="0" applyFont="1" applyAlignment="1">
      <alignment horizontal="center"/>
    </xf>
    <xf numFmtId="14" fontId="58" fillId="0" borderId="0" xfId="0" applyNumberFormat="1" applyFont="1" applyAlignment="1">
      <alignment horizontal="left"/>
    </xf>
    <xf numFmtId="14" fontId="59" fillId="0" borderId="0" xfId="0" applyNumberFormat="1" applyFont="1" applyAlignment="1">
      <alignment horizontal="left"/>
    </xf>
    <xf numFmtId="14" fontId="60" fillId="0" borderId="0" xfId="0" applyNumberFormat="1" applyFont="1" applyAlignment="1">
      <alignment horizontal="left"/>
    </xf>
    <xf numFmtId="38" fontId="61" fillId="0" borderId="14" xfId="0" applyNumberFormat="1" applyFont="1" applyFill="1" applyBorder="1" applyAlignment="1">
      <alignment horizontal="right"/>
    </xf>
    <xf numFmtId="3" fontId="61" fillId="0" borderId="17" xfId="0" applyNumberFormat="1" applyFont="1" applyFill="1" applyBorder="1"/>
    <xf numFmtId="38" fontId="61" fillId="0" borderId="14" xfId="0" applyNumberFormat="1" applyFont="1" applyFill="1" applyBorder="1"/>
    <xf numFmtId="38" fontId="61" fillId="0" borderId="21" xfId="0" applyNumberFormat="1" applyFont="1" applyFill="1" applyBorder="1"/>
    <xf numFmtId="3" fontId="61" fillId="0" borderId="10" xfId="0" applyNumberFormat="1" applyFont="1" applyFill="1" applyBorder="1"/>
    <xf numFmtId="3" fontId="61" fillId="0" borderId="10" xfId="0" applyNumberFormat="1" applyFont="1" applyBorder="1"/>
    <xf numFmtId="3" fontId="61" fillId="0" borderId="14" xfId="0" applyNumberFormat="1" applyFont="1" applyFill="1" applyBorder="1"/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9" fontId="2" fillId="0" borderId="31" xfId="0" applyNumberFormat="1" applyFont="1" applyBorder="1" applyAlignment="1"/>
    <xf numFmtId="0" fontId="2" fillId="0" borderId="32" xfId="0" applyFont="1" applyBorder="1"/>
    <xf numFmtId="0" fontId="2" fillId="0" borderId="33" xfId="0" applyFont="1" applyBorder="1"/>
    <xf numFmtId="9" fontId="2" fillId="0" borderId="0" xfId="0" applyNumberFormat="1" applyFont="1" applyBorder="1" applyAlignment="1">
      <alignment horizontal="center"/>
    </xf>
    <xf numFmtId="0" fontId="2" fillId="0" borderId="34" xfId="0" applyFont="1" applyBorder="1"/>
    <xf numFmtId="164" fontId="2" fillId="0" borderId="33" xfId="55" applyNumberFormat="1" applyFont="1" applyBorder="1"/>
    <xf numFmtId="164" fontId="0" fillId="0" borderId="34" xfId="55" applyNumberFormat="1" applyFont="1" applyBorder="1"/>
    <xf numFmtId="164" fontId="57" fillId="0" borderId="0" xfId="0" applyNumberFormat="1" applyFont="1" applyBorder="1"/>
    <xf numFmtId="164" fontId="57" fillId="0" borderId="34" xfId="55" applyNumberFormat="1" applyFont="1" applyBorder="1"/>
    <xf numFmtId="0" fontId="2" fillId="0" borderId="35" xfId="0" applyFont="1" applyBorder="1"/>
    <xf numFmtId="0" fontId="2" fillId="0" borderId="36" xfId="0" applyFont="1" applyBorder="1"/>
    <xf numFmtId="164" fontId="2" fillId="0" borderId="36" xfId="0" applyNumberFormat="1" applyFont="1" applyBorder="1"/>
    <xf numFmtId="164" fontId="2" fillId="0" borderId="37" xfId="55" applyNumberFormat="1" applyFont="1" applyBorder="1"/>
    <xf numFmtId="0" fontId="55" fillId="0" borderId="0" xfId="116"/>
    <xf numFmtId="0" fontId="2" fillId="0" borderId="0" xfId="116" applyFont="1"/>
    <xf numFmtId="41" fontId="5" fillId="24" borderId="20" xfId="117" applyNumberFormat="1" applyFont="1" applyFill="1" applyBorder="1"/>
    <xf numFmtId="0" fontId="5" fillId="24" borderId="20" xfId="117" applyFont="1" applyFill="1" applyBorder="1" applyAlignment="1">
      <alignment horizontal="right"/>
    </xf>
    <xf numFmtId="0" fontId="1" fillId="24" borderId="21" xfId="117" applyFill="1" applyBorder="1" applyAlignment="1">
      <alignment horizontal="center"/>
    </xf>
    <xf numFmtId="0" fontId="1" fillId="24" borderId="22" xfId="117" applyFill="1" applyBorder="1" applyAlignment="1">
      <alignment horizontal="center"/>
    </xf>
    <xf numFmtId="38" fontId="5" fillId="24" borderId="20" xfId="117" applyNumberFormat="1" applyFont="1" applyFill="1" applyBorder="1" applyAlignment="1">
      <alignment horizontal="right"/>
    </xf>
    <xf numFmtId="0" fontId="5" fillId="24" borderId="22" xfId="117" applyFont="1" applyFill="1" applyBorder="1" applyAlignment="1">
      <alignment horizontal="right"/>
    </xf>
    <xf numFmtId="0" fontId="5" fillId="24" borderId="19" xfId="117" applyFont="1" applyFill="1" applyBorder="1" applyAlignment="1">
      <alignment horizontal="right"/>
    </xf>
    <xf numFmtId="0" fontId="2" fillId="0" borderId="14" xfId="117" applyFont="1" applyFill="1" applyBorder="1" applyAlignment="1">
      <alignment horizontal="left"/>
    </xf>
    <xf numFmtId="0" fontId="2" fillId="0" borderId="0" xfId="117" applyFont="1" applyFill="1" applyBorder="1" applyAlignment="1">
      <alignment horizontal="left"/>
    </xf>
    <xf numFmtId="38" fontId="2" fillId="0" borderId="18" xfId="117" applyNumberFormat="1" applyFont="1" applyFill="1" applyBorder="1" applyAlignment="1">
      <alignment horizontal="right"/>
    </xf>
    <xf numFmtId="38" fontId="2" fillId="0" borderId="17" xfId="117" applyNumberFormat="1" applyFont="1" applyBorder="1"/>
    <xf numFmtId="0" fontId="2" fillId="0" borderId="16" xfId="117" applyFont="1" applyBorder="1" applyAlignment="1">
      <alignment horizontal="left"/>
    </xf>
    <xf numFmtId="0" fontId="2" fillId="0" borderId="15" xfId="117" applyFont="1" applyBorder="1" applyAlignment="1">
      <alignment horizontal="left"/>
    </xf>
    <xf numFmtId="0" fontId="2" fillId="0" borderId="24" xfId="117" applyFont="1" applyBorder="1"/>
    <xf numFmtId="38" fontId="2" fillId="0" borderId="24" xfId="117" applyNumberFormat="1" applyFont="1" applyFill="1" applyBorder="1" applyAlignment="1">
      <alignment horizontal="right"/>
    </xf>
    <xf numFmtId="38" fontId="2" fillId="0" borderId="14" xfId="117" applyNumberFormat="1" applyFont="1" applyBorder="1"/>
    <xf numFmtId="0" fontId="2" fillId="0" borderId="0" xfId="117" applyFont="1" applyBorder="1" applyAlignment="1">
      <alignment horizontal="left"/>
    </xf>
    <xf numFmtId="0" fontId="2" fillId="0" borderId="13" xfId="117" applyFont="1" applyBorder="1" applyAlignment="1">
      <alignment horizontal="left"/>
    </xf>
    <xf numFmtId="38" fontId="2" fillId="0" borderId="24" xfId="117" applyNumberFormat="1" applyFont="1" applyBorder="1"/>
    <xf numFmtId="0" fontId="5" fillId="24" borderId="24" xfId="117" applyFont="1" applyFill="1" applyBorder="1"/>
    <xf numFmtId="0" fontId="2" fillId="0" borderId="12" xfId="117" applyFont="1" applyFill="1" applyBorder="1" applyAlignment="1">
      <alignment horizontal="left"/>
    </xf>
    <xf numFmtId="0" fontId="2" fillId="0" borderId="11" xfId="117" applyFont="1" applyFill="1" applyBorder="1" applyAlignment="1">
      <alignment horizontal="left"/>
    </xf>
    <xf numFmtId="38" fontId="2" fillId="0" borderId="23" xfId="117" applyNumberFormat="1" applyFont="1" applyFill="1" applyBorder="1" applyAlignment="1">
      <alignment horizontal="right"/>
    </xf>
    <xf numFmtId="38" fontId="2" fillId="0" borderId="12" xfId="117" applyNumberFormat="1" applyFont="1" applyBorder="1"/>
    <xf numFmtId="0" fontId="2" fillId="0" borderId="11" xfId="117" applyFont="1" applyBorder="1" applyAlignment="1">
      <alignment horizontal="left"/>
    </xf>
    <xf numFmtId="0" fontId="2" fillId="0" borderId="10" xfId="117" applyFont="1" applyBorder="1" applyAlignment="1">
      <alignment horizontal="left"/>
    </xf>
    <xf numFmtId="0" fontId="2" fillId="0" borderId="23" xfId="117" applyFont="1" applyBorder="1"/>
    <xf numFmtId="0" fontId="5" fillId="24" borderId="20" xfId="117" applyFont="1" applyFill="1" applyBorder="1" applyAlignment="1">
      <alignment horizontal="center"/>
    </xf>
    <xf numFmtId="0" fontId="1" fillId="25" borderId="14" xfId="117" applyFill="1" applyBorder="1" applyAlignment="1">
      <alignment horizontal="center"/>
    </xf>
    <xf numFmtId="0" fontId="1" fillId="25" borderId="0" xfId="117" applyFill="1" applyBorder="1" applyAlignment="1">
      <alignment horizontal="center"/>
    </xf>
    <xf numFmtId="0" fontId="5" fillId="25" borderId="0" xfId="117" applyFont="1" applyFill="1" applyBorder="1" applyAlignment="1">
      <alignment horizontal="center"/>
    </xf>
    <xf numFmtId="38" fontId="5" fillId="25" borderId="0" xfId="117" applyNumberFormat="1" applyFont="1" applyFill="1" applyBorder="1"/>
    <xf numFmtId="0" fontId="5" fillId="25" borderId="0" xfId="117" applyFont="1" applyFill="1" applyBorder="1" applyAlignment="1">
      <alignment horizontal="right"/>
    </xf>
    <xf numFmtId="0" fontId="5" fillId="25" borderId="13" xfId="117" applyFont="1" applyFill="1" applyBorder="1" applyAlignment="1">
      <alignment horizontal="right"/>
    </xf>
    <xf numFmtId="38" fontId="2" fillId="0" borderId="23" xfId="117" applyNumberFormat="1" applyFont="1" applyBorder="1"/>
    <xf numFmtId="38" fontId="2" fillId="0" borderId="16" xfId="117" applyNumberFormat="1" applyFont="1" applyBorder="1"/>
    <xf numFmtId="0" fontId="2" fillId="0" borderId="18" xfId="117" applyFont="1" applyBorder="1"/>
    <xf numFmtId="0" fontId="5" fillId="24" borderId="21" xfId="117" applyFont="1" applyFill="1" applyBorder="1" applyAlignment="1">
      <alignment horizontal="center"/>
    </xf>
    <xf numFmtId="0" fontId="5" fillId="24" borderId="18" xfId="117" applyFont="1" applyFill="1" applyBorder="1" applyAlignment="1">
      <alignment horizontal="center"/>
    </xf>
    <xf numFmtId="38" fontId="2" fillId="0" borderId="0" xfId="117" applyNumberFormat="1" applyFont="1" applyBorder="1"/>
    <xf numFmtId="0" fontId="5" fillId="24" borderId="21" xfId="117" applyFont="1" applyFill="1" applyBorder="1" applyAlignment="1">
      <alignment horizontal="centerContinuous" vertical="center"/>
    </xf>
    <xf numFmtId="0" fontId="5" fillId="24" borderId="19" xfId="117" applyFont="1" applyFill="1" applyBorder="1" applyAlignment="1">
      <alignment horizontal="centerContinuous" vertical="center"/>
    </xf>
    <xf numFmtId="0" fontId="5" fillId="24" borderId="22" xfId="117" applyFont="1" applyFill="1" applyBorder="1" applyAlignment="1">
      <alignment horizontal="centerContinuous" vertical="center"/>
    </xf>
    <xf numFmtId="0" fontId="40" fillId="24" borderId="23" xfId="117" applyFont="1" applyFill="1" applyBorder="1" applyAlignment="1">
      <alignment horizontal="centerContinuous" vertical="center"/>
    </xf>
    <xf numFmtId="41" fontId="5" fillId="0" borderId="12" xfId="117" applyNumberFormat="1" applyFont="1" applyFill="1" applyBorder="1"/>
    <xf numFmtId="41" fontId="5" fillId="0" borderId="11" xfId="117" applyNumberFormat="1" applyFont="1" applyFill="1" applyBorder="1"/>
    <xf numFmtId="0" fontId="5" fillId="0" borderId="10" xfId="117" applyFont="1" applyFill="1" applyBorder="1" applyAlignment="1">
      <alignment horizontal="right"/>
    </xf>
    <xf numFmtId="0" fontId="2" fillId="26" borderId="14" xfId="117" applyFont="1" applyFill="1" applyBorder="1" applyAlignment="1">
      <alignment horizontal="left"/>
    </xf>
    <xf numFmtId="0" fontId="2" fillId="26" borderId="0" xfId="117" applyFont="1" applyFill="1" applyBorder="1" applyAlignment="1">
      <alignment horizontal="left"/>
    </xf>
    <xf numFmtId="38" fontId="2" fillId="26" borderId="24" xfId="117" applyNumberFormat="1" applyFont="1" applyFill="1" applyBorder="1" applyAlignment="1">
      <alignment horizontal="right"/>
    </xf>
    <xf numFmtId="38" fontId="2" fillId="26" borderId="0" xfId="117" applyNumberFormat="1" applyFont="1" applyFill="1" applyBorder="1"/>
    <xf numFmtId="0" fontId="2" fillId="26" borderId="13" xfId="117" applyFont="1" applyFill="1" applyBorder="1" applyAlignment="1">
      <alignment horizontal="left"/>
    </xf>
    <xf numFmtId="0" fontId="2" fillId="26" borderId="24" xfId="117" applyFont="1" applyFill="1" applyBorder="1"/>
    <xf numFmtId="38" fontId="2" fillId="0" borderId="0" xfId="117" applyNumberFormat="1" applyFont="1" applyFill="1" applyBorder="1"/>
    <xf numFmtId="0" fontId="2" fillId="0" borderId="13" xfId="117" applyFont="1" applyFill="1" applyBorder="1" applyAlignment="1">
      <alignment horizontal="left"/>
    </xf>
    <xf numFmtId="0" fontId="2" fillId="0" borderId="24" xfId="117" applyFont="1" applyFill="1" applyBorder="1"/>
    <xf numFmtId="38" fontId="2" fillId="0" borderId="11" xfId="117" applyNumberFormat="1" applyFont="1" applyFill="1" applyBorder="1"/>
    <xf numFmtId="0" fontId="2" fillId="0" borderId="10" xfId="117" applyFont="1" applyFill="1" applyBorder="1" applyAlignment="1">
      <alignment horizontal="left"/>
    </xf>
    <xf numFmtId="0" fontId="2" fillId="0" borderId="23" xfId="117" applyFont="1" applyFill="1" applyBorder="1"/>
    <xf numFmtId="0" fontId="1" fillId="0" borderId="12" xfId="117" applyBorder="1"/>
    <xf numFmtId="0" fontId="1" fillId="0" borderId="11" xfId="117" applyBorder="1"/>
    <xf numFmtId="0" fontId="5" fillId="0" borderId="11" xfId="117" applyFont="1" applyBorder="1"/>
    <xf numFmtId="38" fontId="5" fillId="0" borderId="11" xfId="117" applyNumberFormat="1" applyFont="1" applyBorder="1"/>
    <xf numFmtId="0" fontId="1" fillId="0" borderId="10" xfId="117" applyBorder="1"/>
    <xf numFmtId="169" fontId="2" fillId="0" borderId="18" xfId="117" applyNumberFormat="1" applyFont="1" applyBorder="1"/>
    <xf numFmtId="0" fontId="5" fillId="24" borderId="18" xfId="117" applyFont="1" applyFill="1" applyBorder="1" applyAlignment="1">
      <alignment horizontal="left"/>
    </xf>
    <xf numFmtId="169" fontId="5" fillId="0" borderId="24" xfId="117" applyNumberFormat="1" applyFont="1" applyBorder="1"/>
    <xf numFmtId="0" fontId="5" fillId="24" borderId="24" xfId="117" applyFont="1" applyFill="1" applyBorder="1" applyAlignment="1">
      <alignment horizontal="left"/>
    </xf>
    <xf numFmtId="38" fontId="1" fillId="0" borderId="24" xfId="117" applyNumberFormat="1" applyBorder="1"/>
    <xf numFmtId="0" fontId="5" fillId="24" borderId="14" xfId="117" applyFont="1" applyFill="1" applyBorder="1"/>
    <xf numFmtId="0" fontId="5" fillId="24" borderId="23" xfId="117" applyFont="1" applyFill="1" applyBorder="1" applyAlignment="1">
      <alignment horizontal="left"/>
    </xf>
    <xf numFmtId="38" fontId="1" fillId="0" borderId="23" xfId="117" applyNumberFormat="1" applyBorder="1"/>
    <xf numFmtId="0" fontId="5" fillId="24" borderId="23" xfId="117" applyFont="1" applyFill="1" applyBorder="1"/>
    <xf numFmtId="38" fontId="2" fillId="24" borderId="21" xfId="117" applyNumberFormat="1" applyFont="1" applyFill="1" applyBorder="1" applyAlignment="1">
      <alignment horizontal="centerContinuous"/>
    </xf>
    <xf numFmtId="0" fontId="5" fillId="24" borderId="22" xfId="117" applyFont="1" applyFill="1" applyBorder="1" applyAlignment="1">
      <alignment horizontal="centerContinuous"/>
    </xf>
    <xf numFmtId="0" fontId="5" fillId="24" borderId="21" xfId="117" applyFont="1" applyFill="1" applyBorder="1" applyAlignment="1">
      <alignment horizontal="centerContinuous"/>
    </xf>
    <xf numFmtId="0" fontId="5" fillId="24" borderId="19" xfId="117" applyFont="1" applyFill="1" applyBorder="1" applyAlignment="1">
      <alignment horizontal="centerContinuous"/>
    </xf>
    <xf numFmtId="38" fontId="5" fillId="0" borderId="18" xfId="117" applyNumberFormat="1" applyFont="1" applyFill="1" applyBorder="1" applyAlignment="1">
      <alignment horizontal="right"/>
    </xf>
    <xf numFmtId="0" fontId="5" fillId="24" borderId="0" xfId="117" applyFont="1" applyFill="1" applyBorder="1" applyAlignment="1">
      <alignment horizontal="left"/>
    </xf>
    <xf numFmtId="38" fontId="2" fillId="0" borderId="18" xfId="118" applyNumberFormat="1" applyFont="1" applyBorder="1" applyAlignment="1"/>
    <xf numFmtId="168" fontId="1" fillId="0" borderId="18" xfId="117" applyNumberFormat="1" applyBorder="1" applyAlignment="1">
      <alignment horizontal="center"/>
    </xf>
    <xf numFmtId="38" fontId="2" fillId="0" borderId="18" xfId="117" applyNumberFormat="1" applyFont="1" applyFill="1" applyBorder="1" applyAlignment="1">
      <alignment horizontal="center"/>
    </xf>
    <xf numFmtId="0" fontId="5" fillId="24" borderId="17" xfId="117" applyFont="1" applyFill="1" applyBorder="1"/>
    <xf numFmtId="0" fontId="5" fillId="24" borderId="15" xfId="117" applyFont="1" applyFill="1" applyBorder="1"/>
    <xf numFmtId="0" fontId="5" fillId="24" borderId="13" xfId="117" applyFont="1" applyFill="1" applyBorder="1" applyAlignment="1">
      <alignment horizontal="left"/>
    </xf>
    <xf numFmtId="38" fontId="2" fillId="0" borderId="23" xfId="118" applyNumberFormat="1" applyFont="1" applyBorder="1" applyAlignment="1"/>
    <xf numFmtId="168" fontId="1" fillId="0" borderId="23" xfId="117" applyNumberFormat="1" applyBorder="1" applyAlignment="1">
      <alignment horizontal="center"/>
    </xf>
    <xf numFmtId="38" fontId="2" fillId="0" borderId="24" xfId="117" applyNumberFormat="1" applyFont="1" applyFill="1" applyBorder="1" applyAlignment="1">
      <alignment horizontal="center"/>
    </xf>
    <xf numFmtId="0" fontId="5" fillId="24" borderId="13" xfId="117" applyFont="1" applyFill="1" applyBorder="1"/>
    <xf numFmtId="0" fontId="4" fillId="0" borderId="14" xfId="117" applyFont="1" applyFill="1" applyBorder="1" applyAlignment="1">
      <alignment horizontal="center"/>
    </xf>
    <xf numFmtId="0" fontId="4" fillId="0" borderId="0" xfId="117" applyFont="1" applyFill="1" applyBorder="1" applyAlignment="1">
      <alignment horizontal="center"/>
    </xf>
    <xf numFmtId="0" fontId="4" fillId="0" borderId="13" xfId="117" applyFont="1" applyFill="1" applyBorder="1" applyAlignment="1">
      <alignment horizontal="center"/>
    </xf>
    <xf numFmtId="168" fontId="5" fillId="24" borderId="20" xfId="117" applyNumberFormat="1" applyFont="1" applyFill="1" applyBorder="1" applyAlignment="1">
      <alignment horizontal="center"/>
    </xf>
    <xf numFmtId="0" fontId="5" fillId="24" borderId="18" xfId="117" applyFont="1" applyFill="1" applyBorder="1"/>
    <xf numFmtId="14" fontId="2" fillId="0" borderId="24" xfId="117" applyNumberFormat="1" applyFont="1" applyFill="1" applyBorder="1" applyAlignment="1">
      <alignment horizontal="center"/>
    </xf>
    <xf numFmtId="168" fontId="2" fillId="0" borderId="24" xfId="117" applyNumberFormat="1" applyFont="1" applyFill="1" applyBorder="1" applyAlignment="1">
      <alignment horizontal="center"/>
    </xf>
    <xf numFmtId="38" fontId="1" fillId="0" borderId="14" xfId="117" applyNumberFormat="1" applyBorder="1" applyAlignment="1">
      <alignment horizontal="centerContinuous"/>
    </xf>
    <xf numFmtId="38" fontId="5" fillId="0" borderId="13" xfId="117" applyNumberFormat="1" applyFont="1" applyBorder="1" applyAlignment="1">
      <alignment horizontal="centerContinuous"/>
    </xf>
    <xf numFmtId="14" fontId="2" fillId="0" borderId="23" xfId="117" applyNumberFormat="1" applyFont="1" applyFill="1" applyBorder="1" applyAlignment="1">
      <alignment horizontal="center"/>
    </xf>
    <xf numFmtId="168" fontId="2" fillId="0" borderId="23" xfId="117" applyNumberFormat="1" applyFont="1" applyFill="1" applyBorder="1" applyAlignment="1">
      <alignment horizontal="center"/>
    </xf>
    <xf numFmtId="38" fontId="2" fillId="0" borderId="23" xfId="117" applyNumberFormat="1" applyFont="1" applyFill="1" applyBorder="1" applyAlignment="1">
      <alignment horizontal="center"/>
    </xf>
    <xf numFmtId="10" fontId="2" fillId="0" borderId="23" xfId="117" applyNumberFormat="1" applyFont="1" applyBorder="1" applyAlignment="1"/>
    <xf numFmtId="0" fontId="5" fillId="24" borderId="10" xfId="117" applyFont="1" applyFill="1" applyBorder="1" applyAlignment="1">
      <alignment horizontal="left"/>
    </xf>
    <xf numFmtId="49" fontId="5" fillId="0" borderId="17" xfId="117" applyNumberFormat="1" applyFont="1" applyFill="1" applyBorder="1" applyAlignment="1">
      <alignment horizontal="left" vertical="center"/>
    </xf>
    <xf numFmtId="49" fontId="5" fillId="0" borderId="16" xfId="117" applyNumberFormat="1" applyFont="1" applyFill="1" applyBorder="1" applyAlignment="1">
      <alignment horizontal="left" vertical="center"/>
    </xf>
    <xf numFmtId="49" fontId="5" fillId="0" borderId="15" xfId="117" applyNumberFormat="1" applyFont="1" applyFill="1" applyBorder="1" applyAlignment="1">
      <alignment horizontal="left" vertical="center"/>
    </xf>
    <xf numFmtId="0" fontId="1" fillId="0" borderId="16" xfId="117" applyBorder="1"/>
    <xf numFmtId="0" fontId="1" fillId="0" borderId="15" xfId="117" applyBorder="1"/>
    <xf numFmtId="0" fontId="2" fillId="0" borderId="14" xfId="117" applyFont="1" applyBorder="1"/>
    <xf numFmtId="0" fontId="2" fillId="0" borderId="0" xfId="117" applyFont="1" applyBorder="1"/>
    <xf numFmtId="0" fontId="1" fillId="0" borderId="0" xfId="117"/>
    <xf numFmtId="0" fontId="2" fillId="0" borderId="13" xfId="117" applyFont="1" applyBorder="1"/>
    <xf numFmtId="38" fontId="2" fillId="0" borderId="11" xfId="117" applyNumberFormat="1" applyFont="1" applyBorder="1"/>
    <xf numFmtId="164" fontId="5" fillId="0" borderId="0" xfId="55" applyNumberFormat="1" applyFont="1"/>
    <xf numFmtId="170" fontId="56" fillId="0" borderId="0" xfId="55" applyNumberFormat="1" applyFont="1"/>
    <xf numFmtId="3" fontId="61" fillId="29" borderId="21" xfId="0" applyNumberFormat="1" applyFont="1" applyFill="1" applyBorder="1"/>
    <xf numFmtId="3" fontId="61" fillId="0" borderId="21" xfId="0" applyNumberFormat="1" applyFont="1" applyFill="1" applyBorder="1"/>
    <xf numFmtId="3" fontId="61" fillId="0" borderId="21" xfId="0" applyNumberFormat="1" applyFont="1" applyBorder="1"/>
    <xf numFmtId="0" fontId="0" fillId="26" borderId="0" xfId="0" applyFill="1"/>
    <xf numFmtId="0" fontId="64" fillId="0" borderId="0" xfId="0" applyFont="1" applyFill="1"/>
    <xf numFmtId="37" fontId="65" fillId="0" borderId="0" xfId="0" applyNumberFormat="1" applyFont="1" applyFill="1"/>
    <xf numFmtId="14" fontId="66" fillId="0" borderId="0" xfId="0" applyNumberFormat="1" applyFont="1" applyAlignment="1">
      <alignment horizontal="left"/>
    </xf>
    <xf numFmtId="14" fontId="67" fillId="0" borderId="0" xfId="0" applyNumberFormat="1" applyFont="1" applyAlignment="1">
      <alignment horizontal="left"/>
    </xf>
    <xf numFmtId="0" fontId="61" fillId="0" borderId="0" xfId="0" applyFont="1"/>
    <xf numFmtId="0" fontId="61" fillId="0" borderId="0" xfId="0" applyFont="1" applyFill="1" applyBorder="1"/>
    <xf numFmtId="0" fontId="61" fillId="0" borderId="14" xfId="0" applyFont="1" applyFill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6" xfId="0" applyFont="1" applyFill="1" applyBorder="1" applyAlignment="1">
      <alignment horizontal="center"/>
    </xf>
    <xf numFmtId="0" fontId="61" fillId="0" borderId="17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10" xfId="0" applyFont="1" applyFill="1" applyBorder="1"/>
    <xf numFmtId="0" fontId="61" fillId="0" borderId="12" xfId="0" applyFont="1" applyFill="1" applyBorder="1"/>
    <xf numFmtId="0" fontId="61" fillId="0" borderId="11" xfId="0" applyFont="1" applyFill="1" applyBorder="1"/>
    <xf numFmtId="0" fontId="61" fillId="0" borderId="11" xfId="0" applyFont="1" applyBorder="1"/>
    <xf numFmtId="0" fontId="61" fillId="0" borderId="12" xfId="0" applyFont="1" applyBorder="1"/>
    <xf numFmtId="3" fontId="61" fillId="0" borderId="0" xfId="0" applyNumberFormat="1" applyFont="1" applyFill="1" applyBorder="1"/>
    <xf numFmtId="3" fontId="61" fillId="0" borderId="13" xfId="0" applyNumberFormat="1" applyFont="1" applyFill="1" applyBorder="1"/>
    <xf numFmtId="3" fontId="61" fillId="0" borderId="19" xfId="0" applyNumberFormat="1" applyFont="1" applyFill="1" applyBorder="1"/>
    <xf numFmtId="3" fontId="61" fillId="0" borderId="0" xfId="0" applyNumberFormat="1" applyFont="1" applyBorder="1"/>
    <xf numFmtId="3" fontId="61" fillId="0" borderId="14" xfId="0" applyNumberFormat="1" applyFont="1" applyBorder="1"/>
    <xf numFmtId="3" fontId="61" fillId="0" borderId="15" xfId="0" applyNumberFormat="1" applyFont="1" applyFill="1" applyBorder="1"/>
    <xf numFmtId="3" fontId="61" fillId="0" borderId="16" xfId="0" applyNumberFormat="1" applyFont="1" applyFill="1" applyBorder="1"/>
    <xf numFmtId="3" fontId="61" fillId="0" borderId="16" xfId="0" applyNumberFormat="1" applyFont="1" applyBorder="1"/>
    <xf numFmtId="3" fontId="61" fillId="0" borderId="17" xfId="0" applyNumberFormat="1" applyFont="1" applyBorder="1"/>
    <xf numFmtId="3" fontId="61" fillId="0" borderId="22" xfId="0" applyNumberFormat="1" applyFont="1" applyFill="1" applyBorder="1"/>
    <xf numFmtId="3" fontId="61" fillId="0" borderId="22" xfId="0" applyNumberFormat="1" applyFont="1" applyBorder="1"/>
    <xf numFmtId="3" fontId="61" fillId="0" borderId="19" xfId="0" applyNumberFormat="1" applyFont="1" applyBorder="1"/>
    <xf numFmtId="3" fontId="61" fillId="0" borderId="20" xfId="0" applyNumberFormat="1" applyFont="1" applyFill="1" applyBorder="1"/>
    <xf numFmtId="3" fontId="61" fillId="0" borderId="20" xfId="0" applyNumberFormat="1" applyFont="1" applyBorder="1"/>
    <xf numFmtId="3" fontId="61" fillId="0" borderId="13" xfId="0" applyNumberFormat="1" applyFont="1" applyBorder="1"/>
    <xf numFmtId="3" fontId="69" fillId="0" borderId="13" xfId="0" applyNumberFormat="1" applyFont="1" applyFill="1" applyBorder="1"/>
    <xf numFmtId="3" fontId="69" fillId="0" borderId="0" xfId="0" applyNumberFormat="1" applyFont="1" applyFill="1" applyBorder="1"/>
    <xf numFmtId="3" fontId="61" fillId="0" borderId="25" xfId="0" applyNumberFormat="1" applyFont="1" applyFill="1" applyBorder="1"/>
    <xf numFmtId="3" fontId="61" fillId="0" borderId="26" xfId="0" applyNumberFormat="1" applyFont="1" applyFill="1" applyBorder="1"/>
    <xf numFmtId="0" fontId="68" fillId="0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" fontId="2" fillId="0" borderId="14" xfId="0" applyNumberFormat="1" applyFont="1" applyFill="1" applyBorder="1" applyAlignment="1">
      <alignment horizontal="center"/>
    </xf>
    <xf numFmtId="17" fontId="61" fillId="0" borderId="0" xfId="0" applyNumberFormat="1" applyFont="1" applyFill="1" applyBorder="1" applyAlignment="1">
      <alignment horizontal="center"/>
    </xf>
    <xf numFmtId="17" fontId="61" fillId="0" borderId="14" xfId="0" applyNumberFormat="1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0" xfId="0" applyNumberFormat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4" borderId="1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9" fillId="27" borderId="0" xfId="0" applyFont="1" applyFill="1" applyBorder="1" applyAlignment="1">
      <alignment horizontal="center" vertical="center"/>
    </xf>
    <xf numFmtId="0" fontId="39" fillId="27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24" borderId="19" xfId="117" applyFont="1" applyFill="1" applyBorder="1" applyAlignment="1">
      <alignment horizontal="center"/>
    </xf>
    <xf numFmtId="0" fontId="1" fillId="0" borderId="22" xfId="117" applyBorder="1" applyAlignment="1">
      <alignment horizontal="center"/>
    </xf>
    <xf numFmtId="0" fontId="1" fillId="0" borderId="21" xfId="117" applyBorder="1" applyAlignment="1">
      <alignment horizontal="center"/>
    </xf>
    <xf numFmtId="0" fontId="5" fillId="24" borderId="22" xfId="117" applyFont="1" applyFill="1" applyBorder="1" applyAlignment="1">
      <alignment horizontal="center"/>
    </xf>
    <xf numFmtId="0" fontId="5" fillId="0" borderId="22" xfId="117" applyFont="1" applyBorder="1" applyAlignment="1">
      <alignment horizontal="center"/>
    </xf>
    <xf numFmtId="0" fontId="5" fillId="0" borderId="21" xfId="117" applyFont="1" applyBorder="1" applyAlignment="1">
      <alignment horizontal="center"/>
    </xf>
    <xf numFmtId="0" fontId="4" fillId="0" borderId="15" xfId="117" applyFont="1" applyFill="1" applyBorder="1" applyAlignment="1">
      <alignment horizontal="center"/>
    </xf>
    <xf numFmtId="0" fontId="4" fillId="0" borderId="16" xfId="117" applyFont="1" applyFill="1" applyBorder="1" applyAlignment="1">
      <alignment horizontal="center"/>
    </xf>
    <xf numFmtId="0" fontId="4" fillId="0" borderId="17" xfId="117" applyFont="1" applyFill="1" applyBorder="1" applyAlignment="1">
      <alignment horizontal="center"/>
    </xf>
    <xf numFmtId="0" fontId="4" fillId="0" borderId="15" xfId="117" applyFont="1" applyFill="1" applyBorder="1" applyAlignment="1">
      <alignment horizontal="center" vertical="center"/>
    </xf>
    <xf numFmtId="0" fontId="4" fillId="0" borderId="16" xfId="117" applyFont="1" applyFill="1" applyBorder="1" applyAlignment="1">
      <alignment horizontal="center" vertical="center"/>
    </xf>
    <xf numFmtId="0" fontId="4" fillId="0" borderId="17" xfId="117" applyFont="1" applyFill="1" applyBorder="1" applyAlignment="1">
      <alignment horizontal="center" vertical="center"/>
    </xf>
    <xf numFmtId="0" fontId="39" fillId="27" borderId="0" xfId="117" applyFont="1" applyFill="1" applyBorder="1" applyAlignment="1">
      <alignment horizontal="center" vertical="center"/>
    </xf>
    <xf numFmtId="0" fontId="39" fillId="27" borderId="14" xfId="117" applyFont="1" applyFill="1" applyBorder="1" applyAlignment="1">
      <alignment horizontal="center" vertical="center"/>
    </xf>
    <xf numFmtId="0" fontId="5" fillId="0" borderId="0" xfId="117" applyFont="1" applyBorder="1" applyAlignment="1">
      <alignment horizontal="center" vertical="center"/>
    </xf>
    <xf numFmtId="0" fontId="5" fillId="0" borderId="14" xfId="117" applyFont="1" applyBorder="1" applyAlignment="1">
      <alignment horizontal="center" vertical="center"/>
    </xf>
    <xf numFmtId="0" fontId="5" fillId="0" borderId="10" xfId="117" applyFont="1" applyFill="1" applyBorder="1" applyAlignment="1">
      <alignment vertical="top" wrapText="1"/>
    </xf>
    <xf numFmtId="0" fontId="1" fillId="0" borderId="11" xfId="117" applyBorder="1" applyAlignment="1">
      <alignment vertical="top" wrapText="1"/>
    </xf>
    <xf numFmtId="0" fontId="1" fillId="0" borderId="12" xfId="117" applyBorder="1" applyAlignment="1">
      <alignment vertical="top" wrapText="1"/>
    </xf>
    <xf numFmtId="0" fontId="1" fillId="0" borderId="13" xfId="117" applyBorder="1" applyAlignment="1">
      <alignment vertical="top" wrapText="1"/>
    </xf>
    <xf numFmtId="0" fontId="1" fillId="0" borderId="0" xfId="117" applyBorder="1" applyAlignment="1">
      <alignment vertical="top" wrapText="1"/>
    </xf>
    <xf numFmtId="0" fontId="1" fillId="0" borderId="14" xfId="117" applyBorder="1" applyAlignment="1">
      <alignment vertical="top" wrapText="1"/>
    </xf>
    <xf numFmtId="0" fontId="1" fillId="0" borderId="15" xfId="117" applyBorder="1" applyAlignment="1">
      <alignment vertical="top" wrapText="1"/>
    </xf>
    <xf numFmtId="0" fontId="1" fillId="0" borderId="16" xfId="117" applyBorder="1" applyAlignment="1">
      <alignment vertical="top" wrapText="1"/>
    </xf>
    <xf numFmtId="0" fontId="1" fillId="0" borderId="17" xfId="117" applyBorder="1" applyAlignment="1">
      <alignment vertical="top" wrapText="1"/>
    </xf>
    <xf numFmtId="0" fontId="5" fillId="0" borderId="10" xfId="117" applyFont="1" applyBorder="1" applyAlignment="1">
      <alignment vertical="top" wrapText="1"/>
    </xf>
    <xf numFmtId="0" fontId="5" fillId="0" borderId="16" xfId="117" applyFont="1" applyBorder="1" applyAlignment="1" applyProtection="1">
      <alignment horizontal="center"/>
    </xf>
    <xf numFmtId="0" fontId="5" fillId="0" borderId="17" xfId="117" applyFont="1" applyBorder="1" applyAlignment="1" applyProtection="1">
      <alignment horizontal="center"/>
    </xf>
    <xf numFmtId="0" fontId="5" fillId="0" borderId="10" xfId="117" applyFont="1" applyFill="1" applyBorder="1" applyAlignment="1">
      <alignment horizontal="center" vertical="center"/>
    </xf>
    <xf numFmtId="0" fontId="5" fillId="0" borderId="12" xfId="117" applyFont="1" applyFill="1" applyBorder="1" applyAlignment="1">
      <alignment horizontal="center" vertical="center"/>
    </xf>
    <xf numFmtId="0" fontId="5" fillId="0" borderId="10" xfId="117" applyFont="1" applyBorder="1" applyAlignment="1">
      <alignment horizontal="center" vertical="center"/>
    </xf>
    <xf numFmtId="0" fontId="5" fillId="0" borderId="12" xfId="117" applyFont="1" applyBorder="1" applyAlignment="1">
      <alignment horizontal="center" vertical="center"/>
    </xf>
    <xf numFmtId="38" fontId="5" fillId="0" borderId="10" xfId="117" applyNumberFormat="1" applyFont="1" applyBorder="1" applyAlignment="1">
      <alignment vertical="top" wrapText="1"/>
    </xf>
    <xf numFmtId="0" fontId="5" fillId="0" borderId="11" xfId="117" applyFont="1" applyBorder="1" applyAlignment="1">
      <alignment vertical="top" wrapText="1"/>
    </xf>
    <xf numFmtId="0" fontId="5" fillId="0" borderId="12" xfId="117" applyFont="1" applyBorder="1" applyAlignment="1">
      <alignment vertical="top" wrapText="1"/>
    </xf>
    <xf numFmtId="0" fontId="5" fillId="0" borderId="13" xfId="117" applyFont="1" applyBorder="1" applyAlignment="1">
      <alignment vertical="top" wrapText="1"/>
    </xf>
    <xf numFmtId="0" fontId="5" fillId="0" borderId="0" xfId="117" applyFont="1" applyBorder="1" applyAlignment="1">
      <alignment vertical="top" wrapText="1"/>
    </xf>
    <xf numFmtId="0" fontId="5" fillId="0" borderId="14" xfId="117" applyFont="1" applyBorder="1" applyAlignment="1">
      <alignment vertical="top" wrapText="1"/>
    </xf>
    <xf numFmtId="0" fontId="5" fillId="0" borderId="15" xfId="117" applyFont="1" applyBorder="1" applyAlignment="1">
      <alignment vertical="top" wrapText="1"/>
    </xf>
    <xf numFmtId="0" fontId="5" fillId="0" borderId="16" xfId="117" applyFont="1" applyBorder="1" applyAlignment="1">
      <alignment vertical="top" wrapText="1"/>
    </xf>
    <xf numFmtId="0" fontId="5" fillId="0" borderId="17" xfId="117" applyFont="1" applyBorder="1" applyAlignment="1">
      <alignment vertical="top" wrapText="1"/>
    </xf>
    <xf numFmtId="0" fontId="5" fillId="0" borderId="13" xfId="117" applyFont="1" applyFill="1" applyBorder="1" applyAlignment="1">
      <alignment horizontal="center" vertical="center"/>
    </xf>
    <xf numFmtId="0" fontId="5" fillId="0" borderId="14" xfId="117" applyFont="1" applyFill="1" applyBorder="1" applyAlignment="1">
      <alignment horizontal="center" vertical="center"/>
    </xf>
    <xf numFmtId="0" fontId="5" fillId="0" borderId="13" xfId="117" applyFont="1" applyBorder="1" applyAlignment="1">
      <alignment horizontal="center" vertical="center"/>
    </xf>
    <xf numFmtId="0" fontId="5" fillId="0" borderId="15" xfId="117" applyFont="1" applyBorder="1" applyAlignment="1">
      <alignment horizontal="center" vertical="center"/>
    </xf>
    <xf numFmtId="0" fontId="5" fillId="0" borderId="17" xfId="117" applyFont="1" applyBorder="1" applyAlignment="1">
      <alignment horizontal="center" vertical="center"/>
    </xf>
    <xf numFmtId="0" fontId="38" fillId="0" borderId="10" xfId="117" applyFont="1" applyFill="1" applyBorder="1" applyAlignment="1">
      <alignment horizontal="center" vertical="center"/>
    </xf>
    <xf numFmtId="0" fontId="3" fillId="0" borderId="11" xfId="117" applyFont="1" applyBorder="1" applyAlignment="1">
      <alignment horizontal="center" vertical="center"/>
    </xf>
    <xf numFmtId="0" fontId="3" fillId="0" borderId="12" xfId="117" applyFont="1" applyBorder="1" applyAlignment="1">
      <alignment horizontal="center" vertical="center"/>
    </xf>
    <xf numFmtId="0" fontId="38" fillId="0" borderId="13" xfId="117" applyFont="1" applyFill="1" applyBorder="1" applyAlignment="1">
      <alignment horizontal="center" vertical="center"/>
    </xf>
    <xf numFmtId="0" fontId="38" fillId="0" borderId="0" xfId="117" applyFont="1" applyFill="1" applyBorder="1" applyAlignment="1">
      <alignment horizontal="center" vertical="center"/>
    </xf>
    <xf numFmtId="0" fontId="38" fillId="0" borderId="14" xfId="117" applyFont="1" applyFill="1" applyBorder="1" applyAlignment="1">
      <alignment horizontal="center" vertical="center"/>
    </xf>
    <xf numFmtId="0" fontId="5" fillId="0" borderId="0" xfId="117" applyFont="1" applyAlignment="1">
      <alignment horizontal="center"/>
    </xf>
  </cellXfs>
  <cellStyles count="11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18"/>
    <cellStyle name="ContentsHyperlink" xfId="58"/>
    <cellStyle name="Explanatory Text" xfId="59" builtinId="53" customBuiltin="1"/>
    <cellStyle name="Explanatory Text 2" xfId="60"/>
    <cellStyle name="Good" xfId="61" builtinId="26" customBuiltin="1"/>
    <cellStyle name="Good 2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- Style1" xfId="77"/>
    <cellStyle name="Normal 10" xfId="78"/>
    <cellStyle name="Normal 11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18" xfId="86"/>
    <cellStyle name="Normal 19" xfId="117"/>
    <cellStyle name="Normal 2" xfId="87"/>
    <cellStyle name="Normal 2 2" xfId="116"/>
    <cellStyle name="Normal 24" xfId="88"/>
    <cellStyle name="Normal 25" xfId="89"/>
    <cellStyle name="Normal 3" xfId="90"/>
    <cellStyle name="Normal 3 2" xfId="91"/>
    <cellStyle name="Normal 31" xfId="92"/>
    <cellStyle name="Normal 32" xfId="93"/>
    <cellStyle name="Normal 34" xfId="94"/>
    <cellStyle name="Normal 35" xfId="95"/>
    <cellStyle name="Normal 38" xfId="96"/>
    <cellStyle name="Normal 39" xfId="97"/>
    <cellStyle name="Normal 4" xfId="98"/>
    <cellStyle name="Normal 4 2" xfId="99"/>
    <cellStyle name="Normal 5" xfId="100"/>
    <cellStyle name="Normal 6" xfId="101"/>
    <cellStyle name="Normal 7" xfId="102"/>
    <cellStyle name="Normal 8" xfId="103"/>
    <cellStyle name="Normal 9" xfId="104"/>
    <cellStyle name="Note" xfId="105" builtinId="10" customBuiltin="1"/>
    <cellStyle name="Output" xfId="106" builtinId="21" customBuiltin="1"/>
    <cellStyle name="Output 2" xfId="107"/>
    <cellStyle name="Percent" xfId="108" builtinId="5"/>
    <cellStyle name="Percent 2" xfId="109"/>
    <cellStyle name="Percent 3" xfId="110"/>
    <cellStyle name="Title" xfId="111" builtinId="15" customBuiltin="1"/>
    <cellStyle name="Total" xfId="112" builtinId="25" customBuiltin="1"/>
    <cellStyle name="Total 2" xfId="113"/>
    <cellStyle name="Warning Text" xfId="114" builtinId="11" customBuiltin="1"/>
    <cellStyle name="Warning Text 2" xfId="115"/>
  </cellStyles>
  <dxfs count="32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Orleans\Davidson\Final%20Load%20Studies\Final%20Load%20Studies\2014-2015%20Load%20Studies\Tennessee%20Virginia\2014-2015%20Blacksburg,%20VA%20(LA%20stabilit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\Data\2016\East%20Region\Kentucky\2016-2017%20Tex%20Gas%20Zone%203%20North,%20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1N30 Weather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Design Day Forecast Calculation"/>
      <sheetName val="Design Day Forecast No HDDX"/>
      <sheetName val="Stability Test"/>
      <sheetName val="Stability Test No HDDX"/>
      <sheetName val="HDDX Selection"/>
      <sheetName val="HDDX Script"/>
      <sheetName val="Eviews Results"/>
      <sheetName val="All Data"/>
      <sheetName val="Stability"/>
      <sheetName val="3 Year Minimum"/>
      <sheetName val="STF Website Regressions Winter"/>
      <sheetName val="STF Website Regressions Summer"/>
      <sheetName val="Forecast vs Actual Comparison"/>
      <sheetName val="Coldest 100 Day Check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>
        <row r="3">
          <cell r="AG3" t="str">
            <v>ANR</v>
          </cell>
        </row>
        <row r="4">
          <cell r="AG4" t="str">
            <v>Atmos</v>
          </cell>
        </row>
        <row r="5">
          <cell r="AG5" t="str">
            <v>Centerpoint</v>
          </cell>
        </row>
        <row r="6">
          <cell r="AG6" t="str">
            <v>CIG</v>
          </cell>
        </row>
        <row r="7">
          <cell r="AG7" t="str">
            <v>Col Gulf</v>
          </cell>
        </row>
        <row r="8">
          <cell r="AG8" t="str">
            <v>Crosstex Louisiana</v>
          </cell>
        </row>
        <row r="9">
          <cell r="AG9" t="str">
            <v>East Tenn</v>
          </cell>
        </row>
        <row r="10">
          <cell r="AG10" t="str">
            <v>Enbridge(KPC)</v>
          </cell>
        </row>
        <row r="11">
          <cell r="AG11" t="str">
            <v>Enbridge(MidLA)</v>
          </cell>
        </row>
        <row r="12">
          <cell r="AG12" t="str">
            <v>Gulf South</v>
          </cell>
        </row>
        <row r="13">
          <cell r="AG13" t="str">
            <v>KGS</v>
          </cell>
        </row>
        <row r="14">
          <cell r="AG14" t="str">
            <v>Kinder Morgan</v>
          </cell>
        </row>
        <row r="15">
          <cell r="AG15" t="str">
            <v>MRT</v>
          </cell>
        </row>
        <row r="16">
          <cell r="AG16" t="str">
            <v>NGPL</v>
          </cell>
        </row>
        <row r="17">
          <cell r="AG17" t="str">
            <v>NWPL</v>
          </cell>
        </row>
        <row r="18">
          <cell r="AG18" t="str">
            <v>OneOk</v>
          </cell>
        </row>
        <row r="19">
          <cell r="AG19" t="str">
            <v>Other</v>
          </cell>
        </row>
        <row r="20">
          <cell r="AG20" t="str">
            <v>Ozark</v>
          </cell>
        </row>
        <row r="21">
          <cell r="AG21" t="str">
            <v>PEPL</v>
          </cell>
        </row>
        <row r="22">
          <cell r="AG22" t="str">
            <v>PSCO</v>
          </cell>
        </row>
        <row r="23">
          <cell r="AG23" t="str">
            <v>Sonat</v>
          </cell>
        </row>
        <row r="24">
          <cell r="AG24" t="str">
            <v>Southern Star</v>
          </cell>
        </row>
        <row r="25">
          <cell r="AG25" t="str">
            <v>Tenn Gas</v>
          </cell>
        </row>
        <row r="26">
          <cell r="AG26" t="str">
            <v>Tetco</v>
          </cell>
        </row>
        <row r="27">
          <cell r="AG27" t="str">
            <v>Texas Gas</v>
          </cell>
        </row>
        <row r="28">
          <cell r="AG28" t="str">
            <v>TLGP</v>
          </cell>
        </row>
        <row r="29">
          <cell r="AG29" t="str">
            <v>Transco</v>
          </cell>
        </row>
        <row r="30">
          <cell r="AG30" t="str">
            <v>Trunkline</v>
          </cell>
        </row>
        <row r="31">
          <cell r="AG31" t="str">
            <v>VA Gas</v>
          </cell>
        </row>
      </sheetData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71"/>
  <sheetViews>
    <sheetView tabSelected="1" zoomScaleNormal="100" workbookViewId="0"/>
  </sheetViews>
  <sheetFormatPr defaultColWidth="9.109375" defaultRowHeight="13.2" x14ac:dyDescent="0.25"/>
  <cols>
    <col min="1" max="1" width="61.88671875" style="180" customWidth="1"/>
    <col min="2" max="2" width="12.44140625" style="180" bestFit="1" customWidth="1"/>
    <col min="3" max="3" width="11.44140625" style="180" bestFit="1" customWidth="1"/>
    <col min="4" max="4" width="10.44140625" style="180" bestFit="1" customWidth="1"/>
    <col min="5" max="5" width="10.33203125" style="180" bestFit="1" customWidth="1"/>
    <col min="6" max="6" width="9.6640625" style="180" customWidth="1"/>
    <col min="7" max="7" width="10.109375" style="180" customWidth="1"/>
    <col min="8" max="8" width="10.6640625" style="180" customWidth="1"/>
    <col min="9" max="9" width="11.109375" style="180" customWidth="1"/>
    <col min="10" max="10" width="12" style="180" customWidth="1"/>
    <col min="11" max="11" width="11.109375" style="180" customWidth="1"/>
    <col min="12" max="12" width="11" style="180" bestFit="1" customWidth="1"/>
    <col min="13" max="13" width="10.5546875" style="180" customWidth="1"/>
    <col min="14" max="14" width="9.88671875" style="180" customWidth="1"/>
    <col min="15" max="15" width="9.33203125" style="180" bestFit="1" customWidth="1"/>
    <col min="16" max="16" width="12.33203125" style="180" customWidth="1"/>
    <col min="17" max="17" width="9.33203125" style="180" bestFit="1" customWidth="1"/>
    <col min="18" max="18" width="13.5546875" style="180" customWidth="1"/>
    <col min="19" max="19" width="13.88671875" style="180" customWidth="1"/>
    <col min="20" max="20" width="16.5546875" style="180" customWidth="1"/>
    <col min="21" max="21" width="11.109375" style="180" bestFit="1" customWidth="1"/>
    <col min="22" max="22" width="10.33203125" style="180" customWidth="1"/>
    <col min="23" max="24" width="11.44140625" style="180" bestFit="1" customWidth="1"/>
    <col min="25" max="25" width="12.33203125" style="180" bestFit="1" customWidth="1"/>
    <col min="26" max="26" width="11.44140625" style="180" bestFit="1" customWidth="1"/>
    <col min="27" max="27" width="14.88671875" style="180" customWidth="1"/>
    <col min="28" max="28" width="12.109375" style="180" customWidth="1"/>
    <col min="29" max="29" width="12.44140625" style="180" customWidth="1"/>
    <col min="30" max="30" width="14.109375" style="180" customWidth="1"/>
    <col min="31" max="31" width="13.6640625" style="180" customWidth="1"/>
    <col min="32" max="16384" width="9.109375" style="180"/>
  </cols>
  <sheetData>
    <row r="1" spans="1:19" ht="18.75" customHeight="1" x14ac:dyDescent="0.3">
      <c r="A1" s="46"/>
    </row>
    <row r="2" spans="1:19" ht="17.399999999999999" x14ac:dyDescent="0.3">
      <c r="A2" s="1"/>
    </row>
    <row r="3" spans="1:19" ht="15" x14ac:dyDescent="0.25">
      <c r="A3" s="41" t="s">
        <v>60</v>
      </c>
      <c r="D3" s="169"/>
    </row>
    <row r="4" spans="1:19" ht="17.399999999999999" x14ac:dyDescent="0.3">
      <c r="A4" s="1" t="s">
        <v>61</v>
      </c>
    </row>
    <row r="5" spans="1:19" ht="17.399999999999999" x14ac:dyDescent="0.3">
      <c r="A5" s="146" t="s">
        <v>189</v>
      </c>
      <c r="C5" s="21"/>
      <c r="D5" s="181"/>
    </row>
    <row r="6" spans="1:19" ht="17.399999999999999" x14ac:dyDescent="0.3">
      <c r="A6" s="1" t="s">
        <v>3</v>
      </c>
    </row>
    <row r="7" spans="1:19" ht="17.399999999999999" x14ac:dyDescent="0.3">
      <c r="A7" s="251">
        <v>42941</v>
      </c>
    </row>
    <row r="8" spans="1:19" ht="17.399999999999999" x14ac:dyDescent="0.3">
      <c r="A8" s="46"/>
      <c r="B8" s="397"/>
      <c r="C8" s="398"/>
      <c r="D8" s="397"/>
      <c r="E8" s="399" t="s">
        <v>227</v>
      </c>
      <c r="F8" s="400"/>
      <c r="G8" s="399" t="s">
        <v>227</v>
      </c>
      <c r="I8" s="253" t="s">
        <v>227</v>
      </c>
      <c r="K8" s="252" t="s">
        <v>227</v>
      </c>
    </row>
    <row r="9" spans="1:19" x14ac:dyDescent="0.25">
      <c r="B9" s="436"/>
      <c r="C9" s="436"/>
      <c r="D9" s="436"/>
      <c r="E9" s="436"/>
      <c r="F9" s="401"/>
      <c r="G9" s="401"/>
      <c r="N9" s="250"/>
    </row>
    <row r="10" spans="1:19" ht="15.6" x14ac:dyDescent="0.3">
      <c r="A10" s="5" t="s">
        <v>4</v>
      </c>
      <c r="B10" s="402"/>
      <c r="C10" s="403">
        <v>30</v>
      </c>
      <c r="D10" s="404"/>
      <c r="E10" s="403">
        <v>31</v>
      </c>
      <c r="F10" s="405"/>
      <c r="G10" s="406">
        <v>30</v>
      </c>
      <c r="H10" s="184"/>
      <c r="I10" s="185">
        <v>31</v>
      </c>
      <c r="J10" s="184"/>
      <c r="K10" s="185">
        <v>31</v>
      </c>
      <c r="L10" s="184"/>
      <c r="M10" s="185">
        <v>30</v>
      </c>
      <c r="N10" s="184"/>
      <c r="O10" s="185">
        <v>31</v>
      </c>
      <c r="P10" s="186">
        <f>SUM(C10:O10)</f>
        <v>214</v>
      </c>
    </row>
    <row r="11" spans="1:19" x14ac:dyDescent="0.25">
      <c r="A11" s="50"/>
      <c r="B11" s="441">
        <v>42826</v>
      </c>
      <c r="C11" s="442"/>
      <c r="D11" s="441">
        <v>42856</v>
      </c>
      <c r="E11" s="442"/>
      <c r="F11" s="441">
        <v>42887</v>
      </c>
      <c r="G11" s="442"/>
      <c r="H11" s="439">
        <v>42917</v>
      </c>
      <c r="I11" s="440"/>
      <c r="J11" s="439">
        <v>42948</v>
      </c>
      <c r="K11" s="440"/>
      <c r="L11" s="439">
        <v>42979</v>
      </c>
      <c r="M11" s="440"/>
      <c r="N11" s="439">
        <v>43009</v>
      </c>
      <c r="O11" s="440"/>
      <c r="P11" s="187" t="s">
        <v>7</v>
      </c>
    </row>
    <row r="12" spans="1:19" x14ac:dyDescent="0.25">
      <c r="A12" s="6" t="s">
        <v>17</v>
      </c>
      <c r="B12" s="407" t="s">
        <v>5</v>
      </c>
      <c r="C12" s="408" t="s">
        <v>6</v>
      </c>
      <c r="D12" s="409" t="s">
        <v>5</v>
      </c>
      <c r="E12" s="408" t="s">
        <v>6</v>
      </c>
      <c r="F12" s="410" t="s">
        <v>5</v>
      </c>
      <c r="G12" s="411" t="s">
        <v>6</v>
      </c>
      <c r="H12" s="188" t="s">
        <v>5</v>
      </c>
      <c r="I12" s="189" t="s">
        <v>6</v>
      </c>
      <c r="J12" s="188" t="s">
        <v>5</v>
      </c>
      <c r="K12" s="189" t="s">
        <v>6</v>
      </c>
      <c r="L12" s="188" t="s">
        <v>5</v>
      </c>
      <c r="M12" s="189" t="s">
        <v>6</v>
      </c>
      <c r="N12" s="188" t="s">
        <v>5</v>
      </c>
      <c r="O12" s="189" t="s">
        <v>6</v>
      </c>
      <c r="P12" s="190" t="s">
        <v>5</v>
      </c>
    </row>
    <row r="13" spans="1:19" x14ac:dyDescent="0.25">
      <c r="A13" s="108" t="s">
        <v>164</v>
      </c>
      <c r="B13" s="412"/>
      <c r="C13" s="413"/>
      <c r="D13" s="414"/>
      <c r="E13" s="413"/>
      <c r="F13" s="415"/>
      <c r="G13" s="416"/>
      <c r="H13" s="191"/>
      <c r="I13" s="192"/>
      <c r="J13" s="191"/>
      <c r="K13" s="192"/>
      <c r="L13" s="191"/>
      <c r="M13" s="192"/>
      <c r="N13" s="191"/>
      <c r="O13" s="192"/>
      <c r="P13" s="108"/>
    </row>
    <row r="14" spans="1:19" x14ac:dyDescent="0.25">
      <c r="A14" s="193" t="s">
        <v>18</v>
      </c>
      <c r="B14" s="417">
        <f>+C14*C10</f>
        <v>114570</v>
      </c>
      <c r="C14" s="254">
        <f>ROUND(((+'Texas Gas Zone 2, KY 16-17'!M15+'Texas Gas Zone 2, KY 16-17'!M33)/C10)*0.75,0)-C15</f>
        <v>3819</v>
      </c>
      <c r="D14" s="417">
        <f>+E14*E10</f>
        <v>50840</v>
      </c>
      <c r="E14" s="256">
        <f>ROUND(((+'Texas Gas Zone 2, KY 16-17'!M17+'Texas Gas Zone 2, KY 16-17'!M35)/E10),0)-E15</f>
        <v>1640</v>
      </c>
      <c r="F14" s="418">
        <f>+G14*G10</f>
        <v>51840</v>
      </c>
      <c r="G14" s="256">
        <f>ROUND(((+'Texas Gas Zone 2, KY 16-17'!M17+'Texas Gas Zone 2, KY 16-17'!M35)/G10),0)-G15</f>
        <v>1728</v>
      </c>
      <c r="H14" s="195">
        <f>+I14*I10</f>
        <v>46097</v>
      </c>
      <c r="I14" s="256">
        <f>ROUND(((+'Texas Gas Zone 2, KY 16-17'!M18+'Texas Gas Zone 2, KY 16-17'!M36)/I10),0)-I15</f>
        <v>1487</v>
      </c>
      <c r="J14" s="195">
        <f>+K14*K10</f>
        <v>43276</v>
      </c>
      <c r="K14" s="256">
        <f>ROUND(((+'Texas Gas Zone 2, KY 17-18'!M19+'Texas Gas Zone 2, KY 17-18'!M37)/K10),0)-K15</f>
        <v>1396</v>
      </c>
      <c r="L14" s="195">
        <f>+M14*M10</f>
        <v>59640</v>
      </c>
      <c r="M14" s="256">
        <f>ROUND(((+'Texas Gas Zone 2, KY 16-17'!M20+'Texas Gas Zone 2, KY 16-17'!M38)/M10),0)-M15</f>
        <v>1988</v>
      </c>
      <c r="N14" s="195">
        <f>+O14*O10</f>
        <v>112034</v>
      </c>
      <c r="O14" s="256">
        <f>ROUND(((+'Texas Gas Zone 2, KY 16-17'!M21+'Texas Gas Zone 2, KY 16-17'!M39)/O10),0)-O15</f>
        <v>3614</v>
      </c>
      <c r="P14" s="196">
        <f>B14+D14+F14+H14+J14+L14+N14</f>
        <v>478297</v>
      </c>
      <c r="R14" s="25"/>
      <c r="S14" s="25"/>
    </row>
    <row r="15" spans="1:19" x14ac:dyDescent="0.25">
      <c r="A15" s="197" t="s">
        <v>19</v>
      </c>
      <c r="B15" s="417">
        <f>+C15*C10</f>
        <v>30000</v>
      </c>
      <c r="C15" s="255">
        <v>1000</v>
      </c>
      <c r="D15" s="417">
        <f>+E15*E10</f>
        <v>31000</v>
      </c>
      <c r="E15" s="255">
        <v>1000</v>
      </c>
      <c r="F15" s="417">
        <f>+G15*G10</f>
        <v>30000</v>
      </c>
      <c r="G15" s="255">
        <v>1000</v>
      </c>
      <c r="H15" s="194">
        <f>+I15*I10</f>
        <v>31000</v>
      </c>
      <c r="I15" s="255">
        <v>1000</v>
      </c>
      <c r="J15" s="194">
        <f>+K15*K10</f>
        <v>31000</v>
      </c>
      <c r="K15" s="255">
        <v>1000</v>
      </c>
      <c r="L15" s="194">
        <f>+M15*M10</f>
        <v>30000</v>
      </c>
      <c r="M15" s="255">
        <v>1000</v>
      </c>
      <c r="N15" s="194">
        <f>+O15*O10</f>
        <v>31000</v>
      </c>
      <c r="O15" s="255">
        <v>1000</v>
      </c>
      <c r="P15" s="196">
        <f>B15+D15+F15+H15+J15+L15+N15</f>
        <v>214000</v>
      </c>
    </row>
    <row r="16" spans="1:19" x14ac:dyDescent="0.25">
      <c r="A16" s="198" t="s">
        <v>20</v>
      </c>
      <c r="B16" s="419">
        <f>+C16*C10</f>
        <v>144570</v>
      </c>
      <c r="C16" s="419">
        <f>SUM(C14:C15)</f>
        <v>4819</v>
      </c>
      <c r="D16" s="419">
        <f>SUM(D14:D15)</f>
        <v>81840</v>
      </c>
      <c r="E16" s="394">
        <f t="shared" ref="E16:O16" si="0">SUM(E14:E15)</f>
        <v>2640</v>
      </c>
      <c r="F16" s="419">
        <f t="shared" si="0"/>
        <v>81840</v>
      </c>
      <c r="G16" s="394">
        <f t="shared" si="0"/>
        <v>2728</v>
      </c>
      <c r="H16" s="199">
        <f t="shared" si="0"/>
        <v>77097</v>
      </c>
      <c r="I16" s="200">
        <f t="shared" si="0"/>
        <v>2487</v>
      </c>
      <c r="J16" s="199">
        <f t="shared" si="0"/>
        <v>74276</v>
      </c>
      <c r="K16" s="393">
        <f t="shared" si="0"/>
        <v>2396</v>
      </c>
      <c r="L16" s="199">
        <f t="shared" si="0"/>
        <v>89640</v>
      </c>
      <c r="M16" s="200">
        <f t="shared" si="0"/>
        <v>2988</v>
      </c>
      <c r="N16" s="199">
        <f t="shared" si="0"/>
        <v>143034</v>
      </c>
      <c r="O16" s="200">
        <f t="shared" si="0"/>
        <v>4614</v>
      </c>
      <c r="P16" s="201">
        <f>B16+D16+F16+H16+J16+L16+N16</f>
        <v>692297</v>
      </c>
    </row>
    <row r="17" spans="1:31" x14ac:dyDescent="0.25">
      <c r="A17" s="114" t="s">
        <v>8</v>
      </c>
      <c r="B17" s="418"/>
      <c r="C17" s="260"/>
      <c r="D17" s="417"/>
      <c r="E17" s="260"/>
      <c r="F17" s="420"/>
      <c r="G17" s="421"/>
      <c r="H17" s="203"/>
      <c r="I17" s="204"/>
      <c r="J17" s="203"/>
      <c r="K17" s="204"/>
      <c r="L17" s="203"/>
      <c r="M17" s="204"/>
      <c r="N17" s="203"/>
      <c r="O17" s="204"/>
      <c r="P17" s="205"/>
    </row>
    <row r="18" spans="1:31" x14ac:dyDescent="0.25">
      <c r="A18" s="193" t="s">
        <v>18</v>
      </c>
      <c r="B18" s="417">
        <f>+C18*C10</f>
        <v>559530</v>
      </c>
      <c r="C18" s="256">
        <f>ROUND(((+'Texas Gas Zn 3 South, KY 16-17'!M15+'Texas Gas Zn 3 South, KY 16-17'!M33+'Texas Gas Zn 3 North, KY 16-17'!M15+'Texas Gas Zn 3 North, KY 16-17'!M33)/C10)*0.75,0)</f>
        <v>18651</v>
      </c>
      <c r="D18" s="417">
        <f>+E18*E10</f>
        <v>288114</v>
      </c>
      <c r="E18" s="256">
        <f>ROUND(((+'Texas Gas Zn 3 South, KY 16-17'!O17+'Texas Gas Zn 3 South, KY 16-17'!O35+'Texas Gas Zn 3 North, KY 16-17'!O17+'Texas Gas Zn 3 North, KY 16-17'!O35)/E10),0)</f>
        <v>9294</v>
      </c>
      <c r="F18" s="420">
        <f>+G18*G10</f>
        <v>286500</v>
      </c>
      <c r="G18" s="256">
        <f>ROUND(((+'Texas Gas Zn 3 South, KY 16-17'!M17+'Texas Gas Zn 3 South, KY 16-17'!M35+'Texas Gas Zn 3 North, KY 16-17'!M17+'Texas Gas Zn 3 North, KY 16-17'!M35)/G10),0)</f>
        <v>9550</v>
      </c>
      <c r="H18" s="203">
        <f>+I18*I10</f>
        <v>271405</v>
      </c>
      <c r="I18" s="256">
        <f>ROUND(((+'Texas Gas Zn 3 South, KY 16-17'!M18+'Texas Gas Zn 3 South, KY 16-17'!M36+'Texas Gas Zn 3 North, KY 16-17'!M18+'Texas Gas Zn 3 North, KY 16-17'!M36)/I10),0)</f>
        <v>8755</v>
      </c>
      <c r="J18" s="203">
        <f>+K18*K10</f>
        <v>254479</v>
      </c>
      <c r="K18" s="256">
        <v>8209</v>
      </c>
      <c r="L18" s="203">
        <f>+M18*M10</f>
        <v>360930</v>
      </c>
      <c r="M18" s="256">
        <f>ROUND(((+'Texas Gas Zn 3 South, KY 16-17'!M20+'Texas Gas Zn 3 South, KY 16-17'!M38+'Texas Gas Zn 3 North, KY 16-17'!M20+'Texas Gas Zn 3 North, KY 16-17'!M38)/M10),0)</f>
        <v>12031</v>
      </c>
      <c r="N18" s="203">
        <f>+O18*O10</f>
        <v>591263</v>
      </c>
      <c r="O18" s="256">
        <f>ROUND(((+'Texas Gas Zn 3 South, KY 16-17'!M21+'Texas Gas Zn 3 South, KY 16-17'!M39+'Texas Gas Zn 3 North, KY 16-17'!M21+'Texas Gas Zn 3 North, KY 16-17'!M39)/O10),0)</f>
        <v>19073</v>
      </c>
      <c r="P18" s="205">
        <f>B18+D18+F18+H18+J18+L18+N18</f>
        <v>2612221</v>
      </c>
      <c r="R18" s="206"/>
      <c r="S18" s="206"/>
    </row>
    <row r="19" spans="1:31" x14ac:dyDescent="0.25">
      <c r="A19" s="193" t="s">
        <v>21</v>
      </c>
      <c r="B19" s="418">
        <v>0</v>
      </c>
      <c r="C19" s="260">
        <f>B19/$C$10</f>
        <v>0</v>
      </c>
      <c r="D19" s="417">
        <v>0</v>
      </c>
      <c r="E19" s="260">
        <f>D19/$E$10</f>
        <v>0</v>
      </c>
      <c r="F19" s="420">
        <v>0</v>
      </c>
      <c r="G19" s="421">
        <f>F19/G10</f>
        <v>0</v>
      </c>
      <c r="H19" s="203">
        <v>0</v>
      </c>
      <c r="I19" s="204">
        <f>H19/I10</f>
        <v>0</v>
      </c>
      <c r="J19" s="203">
        <v>0</v>
      </c>
      <c r="K19" s="204">
        <f>J19/K10</f>
        <v>0</v>
      </c>
      <c r="L19" s="203">
        <v>0</v>
      </c>
      <c r="M19" s="204">
        <f>L19/M10</f>
        <v>0</v>
      </c>
      <c r="N19" s="203">
        <v>0</v>
      </c>
      <c r="O19" s="204">
        <f>N19/O10</f>
        <v>0</v>
      </c>
      <c r="P19" s="205">
        <f>B19+D19+F19+H19+J19+L19+N19</f>
        <v>0</v>
      </c>
    </row>
    <row r="20" spans="1:31" ht="12.75" customHeight="1" x14ac:dyDescent="0.25">
      <c r="A20" s="197" t="s">
        <v>22</v>
      </c>
      <c r="B20" s="422">
        <v>0</v>
      </c>
      <c r="C20" s="255">
        <f>B20/$C$10</f>
        <v>0</v>
      </c>
      <c r="D20" s="423">
        <v>0</v>
      </c>
      <c r="E20" s="255">
        <f>D20/$E$10</f>
        <v>0</v>
      </c>
      <c r="F20" s="424">
        <v>0</v>
      </c>
      <c r="G20" s="425">
        <f>F20/G10</f>
        <v>0</v>
      </c>
      <c r="H20" s="207">
        <v>0</v>
      </c>
      <c r="I20" s="208">
        <f>H20/I10</f>
        <v>0</v>
      </c>
      <c r="J20" s="207">
        <v>0</v>
      </c>
      <c r="K20" s="208">
        <f>J20/K10</f>
        <v>0</v>
      </c>
      <c r="L20" s="207">
        <v>0</v>
      </c>
      <c r="M20" s="208">
        <f>L20/M10</f>
        <v>0</v>
      </c>
      <c r="N20" s="207">
        <v>0</v>
      </c>
      <c r="O20" s="208">
        <f>N20/O10</f>
        <v>0</v>
      </c>
      <c r="P20" s="205">
        <f>B20+D20+F20+H20+J20+L20+N20</f>
        <v>0</v>
      </c>
      <c r="T20" s="209"/>
      <c r="X20" s="437"/>
      <c r="Y20" s="437"/>
      <c r="Z20" s="437"/>
      <c r="AC20" s="437"/>
      <c r="AD20" s="437"/>
      <c r="AE20" s="437"/>
    </row>
    <row r="21" spans="1:31" x14ac:dyDescent="0.25">
      <c r="A21" s="210" t="s">
        <v>20</v>
      </c>
      <c r="B21" s="419">
        <f t="shared" ref="B21:P21" si="1">SUM(B18:B20)</f>
        <v>559530</v>
      </c>
      <c r="C21" s="394">
        <f t="shared" si="1"/>
        <v>18651</v>
      </c>
      <c r="D21" s="426">
        <f t="shared" si="1"/>
        <v>288114</v>
      </c>
      <c r="E21" s="394">
        <f t="shared" si="1"/>
        <v>9294</v>
      </c>
      <c r="F21" s="427">
        <f>SUM(F18:F20)</f>
        <v>286500</v>
      </c>
      <c r="G21" s="395">
        <f>SUM(G18:G20)</f>
        <v>9550</v>
      </c>
      <c r="H21" s="211">
        <f>SUM(H18:H20)</f>
        <v>271405</v>
      </c>
      <c r="I21" s="395">
        <f>SUM(I18:I20)</f>
        <v>8755</v>
      </c>
      <c r="J21" s="211">
        <f t="shared" si="1"/>
        <v>254479</v>
      </c>
      <c r="K21" s="395">
        <f t="shared" si="1"/>
        <v>8209</v>
      </c>
      <c r="L21" s="211">
        <f t="shared" si="1"/>
        <v>360930</v>
      </c>
      <c r="M21" s="212">
        <f t="shared" si="1"/>
        <v>12031</v>
      </c>
      <c r="N21" s="211">
        <f t="shared" si="1"/>
        <v>591263</v>
      </c>
      <c r="O21" s="212">
        <f t="shared" si="1"/>
        <v>19073</v>
      </c>
      <c r="P21" s="213">
        <f t="shared" si="1"/>
        <v>2612221</v>
      </c>
      <c r="Y21" s="214"/>
      <c r="Z21" s="214"/>
      <c r="AD21" s="214"/>
      <c r="AE21" s="214"/>
    </row>
    <row r="22" spans="1:31" x14ac:dyDescent="0.25">
      <c r="A22" s="114" t="s">
        <v>9</v>
      </c>
      <c r="B22" s="418"/>
      <c r="C22" s="260"/>
      <c r="D22" s="417"/>
      <c r="E22" s="260"/>
      <c r="F22" s="420"/>
      <c r="G22" s="421"/>
      <c r="H22" s="203"/>
      <c r="I22" s="204"/>
      <c r="J22" s="203"/>
      <c r="K22" s="204"/>
      <c r="L22" s="203"/>
      <c r="M22" s="204"/>
      <c r="N22" s="203"/>
      <c r="O22" s="204"/>
      <c r="P22" s="205"/>
      <c r="T22" s="215"/>
      <c r="V22" s="216"/>
      <c r="Y22" s="206"/>
      <c r="Z22" s="206"/>
      <c r="AA22" s="206"/>
      <c r="AD22" s="206"/>
      <c r="AE22" s="206"/>
    </row>
    <row r="23" spans="1:31" x14ac:dyDescent="0.25">
      <c r="A23" s="210" t="s">
        <v>18</v>
      </c>
      <c r="B23" s="419">
        <f>+C23*C10</f>
        <v>55260</v>
      </c>
      <c r="C23" s="257">
        <f>ROUND(((+'Texas Gas Zone 4, KY 16-17'!M15+'Texas Gas Zone 4, KY 16-17'!M33)/C10)*0.75,0)</f>
        <v>1842</v>
      </c>
      <c r="D23" s="419">
        <f>+E23*E10</f>
        <v>23746</v>
      </c>
      <c r="E23" s="257">
        <f>ROUND(((+'Texas Gas Zone 4, KY 16-17'!M17+'Texas Gas Zone 4, KY 16-17'!M35)/E10),0)</f>
        <v>766</v>
      </c>
      <c r="F23" s="428">
        <f>+G23*G10</f>
        <v>23760</v>
      </c>
      <c r="G23" s="257">
        <f>ROUND(((+'Texas Gas Zone 4, KY 16-17'!M17+'Texas Gas Zone 4, KY 16-17'!M35)/G10),0)</f>
        <v>792</v>
      </c>
      <c r="H23" s="217">
        <f>+I23*I10</f>
        <v>22382</v>
      </c>
      <c r="I23" s="257">
        <f>ROUND(((+'Texas Gas Zone 4, KY 16-17'!M18+'Texas Gas Zone 4, KY 16-17'!M36)/I10),0)</f>
        <v>722</v>
      </c>
      <c r="J23" s="217">
        <f>+K23*K10</f>
        <v>23250</v>
      </c>
      <c r="K23" s="257">
        <f>ROUND((('Texas Gas Zone 4, KY 17-18'!M19+'Texas Gas Zone 4, KY 17-18'!M37)/K10),0)</f>
        <v>750</v>
      </c>
      <c r="L23" s="217">
        <f>+M23*M10</f>
        <v>28560</v>
      </c>
      <c r="M23" s="257">
        <f>ROUND(((+'Texas Gas Zone 4, KY 16-17'!M20+'Texas Gas Zone 4, KY 16-17'!M38)/M10),0)</f>
        <v>952</v>
      </c>
      <c r="N23" s="217">
        <f>+O23*O10</f>
        <v>55397</v>
      </c>
      <c r="O23" s="257">
        <f>ROUND(((+'Texas Gas Zone 4, KY 16-17'!M21+'Texas Gas Zone 4, KY 16-17'!M39)/O10),0)</f>
        <v>1787</v>
      </c>
      <c r="P23" s="213">
        <f>B23+D23+F23+H23+J23+L23+N23</f>
        <v>232355</v>
      </c>
      <c r="T23" s="215"/>
      <c r="V23" s="216"/>
      <c r="Y23" s="206"/>
      <c r="Z23" s="206"/>
      <c r="AA23" s="206"/>
      <c r="AD23" s="206"/>
      <c r="AE23" s="206"/>
    </row>
    <row r="24" spans="1:31" x14ac:dyDescent="0.25">
      <c r="A24" s="218"/>
      <c r="B24" s="258"/>
      <c r="C24" s="260"/>
      <c r="D24" s="417"/>
      <c r="E24" s="260"/>
      <c r="F24" s="420"/>
      <c r="G24" s="421"/>
      <c r="H24" s="203"/>
      <c r="I24" s="204"/>
      <c r="J24" s="203"/>
      <c r="K24" s="204"/>
      <c r="L24" s="203"/>
      <c r="M24" s="204"/>
      <c r="N24" s="203"/>
      <c r="O24" s="204"/>
      <c r="P24" s="205"/>
      <c r="T24" s="215"/>
      <c r="V24" s="216"/>
      <c r="Y24" s="206"/>
      <c r="Z24" s="206"/>
      <c r="AA24" s="206"/>
      <c r="AD24" s="206"/>
      <c r="AE24" s="206"/>
    </row>
    <row r="25" spans="1:31" x14ac:dyDescent="0.25">
      <c r="A25" s="218" t="s">
        <v>163</v>
      </c>
      <c r="B25" s="258">
        <f t="shared" ref="B25:P25" si="2">+B16+B21+B23</f>
        <v>759360</v>
      </c>
      <c r="C25" s="258">
        <f t="shared" si="2"/>
        <v>25312</v>
      </c>
      <c r="D25" s="429">
        <f t="shared" si="2"/>
        <v>393700</v>
      </c>
      <c r="E25" s="258">
        <f t="shared" si="2"/>
        <v>12700</v>
      </c>
      <c r="F25" s="430">
        <f t="shared" si="2"/>
        <v>392100</v>
      </c>
      <c r="G25" s="259">
        <f t="shared" si="2"/>
        <v>13070</v>
      </c>
      <c r="H25" s="213">
        <f t="shared" si="2"/>
        <v>370884</v>
      </c>
      <c r="I25" s="259">
        <f t="shared" si="2"/>
        <v>11964</v>
      </c>
      <c r="J25" s="213">
        <f t="shared" si="2"/>
        <v>352005</v>
      </c>
      <c r="K25" s="259">
        <f t="shared" si="2"/>
        <v>11355</v>
      </c>
      <c r="L25" s="213">
        <f t="shared" si="2"/>
        <v>479130</v>
      </c>
      <c r="M25" s="259">
        <f t="shared" si="2"/>
        <v>15971</v>
      </c>
      <c r="N25" s="213">
        <f t="shared" si="2"/>
        <v>789694</v>
      </c>
      <c r="O25" s="259">
        <f t="shared" si="2"/>
        <v>25474</v>
      </c>
      <c r="P25" s="219">
        <f t="shared" si="2"/>
        <v>3536873</v>
      </c>
      <c r="U25" s="215"/>
      <c r="V25" s="216"/>
      <c r="Y25" s="206"/>
      <c r="Z25" s="206"/>
      <c r="AA25" s="206"/>
      <c r="AD25" s="206"/>
      <c r="AE25" s="206"/>
    </row>
    <row r="26" spans="1:31" x14ac:dyDescent="0.25">
      <c r="B26" s="258"/>
      <c r="C26" s="260"/>
      <c r="D26" s="417"/>
      <c r="E26" s="260"/>
      <c r="F26" s="420"/>
      <c r="G26" s="421"/>
      <c r="H26" s="203"/>
      <c r="I26" s="204"/>
      <c r="J26" s="203"/>
      <c r="K26" s="204"/>
      <c r="L26" s="203"/>
      <c r="M26" s="204"/>
      <c r="N26" s="203"/>
      <c r="O26" s="204"/>
      <c r="P26" s="205"/>
      <c r="S26" s="17"/>
      <c r="U26" s="220"/>
      <c r="V26" s="216"/>
      <c r="W26" s="25"/>
      <c r="X26" s="25"/>
      <c r="Y26" s="206"/>
      <c r="Z26" s="206"/>
      <c r="AA26" s="206"/>
      <c r="AD26" s="206"/>
      <c r="AE26" s="206"/>
    </row>
    <row r="27" spans="1:31" s="182" customFormat="1" x14ac:dyDescent="0.25">
      <c r="A27" s="157" t="s">
        <v>156</v>
      </c>
      <c r="B27" s="418">
        <f>+C27*C10</f>
        <v>493860</v>
      </c>
      <c r="C27" s="260">
        <f>ROUND(+C57+C58+C59,0)</f>
        <v>16462</v>
      </c>
      <c r="D27" s="418">
        <f>+E27*E10</f>
        <v>384121</v>
      </c>
      <c r="E27" s="260">
        <v>12391</v>
      </c>
      <c r="F27" s="418">
        <f>+G27*G10</f>
        <v>806640</v>
      </c>
      <c r="G27" s="260">
        <v>26888</v>
      </c>
      <c r="H27" s="195">
        <v>537757</v>
      </c>
      <c r="I27" s="260">
        <f>ROUND(+E68+E69+E70,0)</f>
        <v>14869</v>
      </c>
      <c r="J27" s="195">
        <f>+K27*K10</f>
        <v>460939</v>
      </c>
      <c r="K27" s="260">
        <f>ROUND(+E68+E69+E70,0)</f>
        <v>14869</v>
      </c>
      <c r="L27" s="195">
        <f>+M27*M10</f>
        <v>493860</v>
      </c>
      <c r="M27" s="260">
        <f>ROUND(+M57+M58+M59,0)</f>
        <v>16462</v>
      </c>
      <c r="N27" s="195">
        <f>+O27*O10</f>
        <v>493861</v>
      </c>
      <c r="O27" s="260">
        <f>ROUND(+O57+O58+O59,0)</f>
        <v>15931</v>
      </c>
      <c r="P27" s="196">
        <f t="shared" ref="P27:P33" si="3">B27+D27+F27+H27+J27+L27+N27</f>
        <v>3671038</v>
      </c>
      <c r="R27" s="44"/>
      <c r="S27" s="44"/>
      <c r="V27" s="221"/>
      <c r="Y27" s="222"/>
      <c r="Z27" s="222"/>
      <c r="AA27" s="222"/>
      <c r="AD27" s="222"/>
    </row>
    <row r="28" spans="1:31" s="182" customFormat="1" x14ac:dyDescent="0.25">
      <c r="A28" s="157" t="s">
        <v>148</v>
      </c>
      <c r="B28" s="418">
        <f>+C28*C10</f>
        <v>57090</v>
      </c>
      <c r="C28" s="260">
        <f>ROUND(+'Co-owned storage'!F43+'Co-owned storage'!F44,0)</f>
        <v>1903</v>
      </c>
      <c r="D28" s="418">
        <f>+E28*E10</f>
        <v>57071</v>
      </c>
      <c r="E28" s="260">
        <f>ROUND(+'Co-owned storage'!G43+'Co-owned storage'!G44,0)</f>
        <v>1841</v>
      </c>
      <c r="F28" s="418">
        <f>+G28*G10</f>
        <v>57090</v>
      </c>
      <c r="G28" s="260">
        <f>ROUND(+'Co-owned storage'!H43+'Co-owned storage'!H44,0)</f>
        <v>1903</v>
      </c>
      <c r="H28" s="195">
        <f>+I28*I10</f>
        <v>57071</v>
      </c>
      <c r="I28" s="202">
        <f>ROUND(+'Co-owned storage'!I43+'Co-owned storage'!I44,0)</f>
        <v>1841</v>
      </c>
      <c r="J28" s="195">
        <f>+K28*K10</f>
        <v>57071</v>
      </c>
      <c r="K28" s="202">
        <f>ROUND(+'Co-owned storage'!J43+'Co-owned storage'!J44,0)</f>
        <v>1841</v>
      </c>
      <c r="L28" s="195">
        <f>+M28*M10</f>
        <v>57090</v>
      </c>
      <c r="M28" s="202">
        <f>ROUND(+'Co-owned storage'!K43+'Co-owned storage'!K44,0)</f>
        <v>1903</v>
      </c>
      <c r="N28" s="195">
        <f>+O28*O10</f>
        <v>57071</v>
      </c>
      <c r="O28" s="202">
        <f>ROUND(+'Co-owned storage'!L43+'Co-owned storage'!L44,0)</f>
        <v>1841</v>
      </c>
      <c r="P28" s="196">
        <f t="shared" si="3"/>
        <v>399554</v>
      </c>
      <c r="R28" s="44"/>
      <c r="S28" s="44"/>
      <c r="V28" s="221"/>
      <c r="Y28" s="222"/>
      <c r="Z28" s="222"/>
      <c r="AA28" s="222"/>
      <c r="AD28" s="222"/>
    </row>
    <row r="29" spans="1:31" s="182" customFormat="1" x14ac:dyDescent="0.25">
      <c r="A29" s="157" t="s">
        <v>184</v>
      </c>
      <c r="B29" s="418">
        <f>+C29*C10</f>
        <v>68190</v>
      </c>
      <c r="C29" s="260">
        <f>ROUND(+'Co-owned storage'!F42,0)</f>
        <v>2273</v>
      </c>
      <c r="D29" s="418">
        <f>+E29*E10</f>
        <v>68169</v>
      </c>
      <c r="E29" s="260">
        <f>ROUND(+'Co-owned storage'!G42,0)</f>
        <v>2199</v>
      </c>
      <c r="F29" s="418">
        <f>+G29*G10</f>
        <v>68190</v>
      </c>
      <c r="G29" s="260">
        <f>ROUND(+'Co-owned storage'!H42,0)</f>
        <v>2273</v>
      </c>
      <c r="H29" s="195">
        <f>+I29*I10</f>
        <v>68169</v>
      </c>
      <c r="I29" s="202">
        <f>ROUND(+'Co-owned storage'!I42,0)</f>
        <v>2199</v>
      </c>
      <c r="J29" s="195">
        <f>+K29*K10</f>
        <v>68169</v>
      </c>
      <c r="K29" s="202">
        <f>ROUND(+'Co-owned storage'!J42,0)</f>
        <v>2199</v>
      </c>
      <c r="L29" s="195">
        <f>+M29*M10</f>
        <v>68190</v>
      </c>
      <c r="M29" s="202">
        <f>ROUND(+'Co-owned storage'!K42,0)</f>
        <v>2273</v>
      </c>
      <c r="N29" s="195">
        <f>+O29*O10</f>
        <v>68169</v>
      </c>
      <c r="O29" s="202">
        <f>ROUND(+'Co-owned storage'!L42,0)</f>
        <v>2199</v>
      </c>
      <c r="P29" s="196">
        <f t="shared" si="3"/>
        <v>477246</v>
      </c>
      <c r="R29" s="44"/>
      <c r="S29" s="44"/>
      <c r="V29" s="221"/>
      <c r="Y29" s="222"/>
      <c r="Z29" s="222"/>
      <c r="AA29" s="222"/>
      <c r="AD29" s="222"/>
    </row>
    <row r="30" spans="1:31" s="182" customFormat="1" x14ac:dyDescent="0.25">
      <c r="A30" s="157" t="s">
        <v>149</v>
      </c>
      <c r="B30" s="418">
        <f>+C30*C10</f>
        <v>205830</v>
      </c>
      <c r="C30" s="260">
        <f>ROUND(+'Co-owned storage'!F45+'Co-owned storage'!F46,0)</f>
        <v>6861</v>
      </c>
      <c r="D30" s="418">
        <f>+E30*E10</f>
        <v>205809</v>
      </c>
      <c r="E30" s="260">
        <f>ROUND(+'Co-owned storage'!G45+'Co-owned storage'!G46,0)</f>
        <v>6639</v>
      </c>
      <c r="F30" s="418">
        <f>+G30*G10</f>
        <v>205830</v>
      </c>
      <c r="G30" s="260">
        <f>ROUND(+'Co-owned storage'!H45+'Co-owned storage'!H46,0)</f>
        <v>6861</v>
      </c>
      <c r="H30" s="195">
        <f>+I30*I10</f>
        <v>205809</v>
      </c>
      <c r="I30" s="202">
        <f>ROUND(+'Co-owned storage'!I45+'Co-owned storage'!I46,0)</f>
        <v>6639</v>
      </c>
      <c r="J30" s="195">
        <f>+K30*K10</f>
        <v>205809</v>
      </c>
      <c r="K30" s="202">
        <f>ROUND(+'Co-owned storage'!J45+'Co-owned storage'!J46,0)</f>
        <v>6639</v>
      </c>
      <c r="L30" s="195">
        <f>+M30*M10</f>
        <v>205830</v>
      </c>
      <c r="M30" s="202">
        <f>ROUND(+'Co-owned storage'!K45+'Co-owned storage'!K46,0)</f>
        <v>6861</v>
      </c>
      <c r="N30" s="195">
        <f>+O30*O10</f>
        <v>205809</v>
      </c>
      <c r="O30" s="202">
        <f>ROUND(+'Co-owned storage'!L45+'Co-owned storage'!L46,0)</f>
        <v>6639</v>
      </c>
      <c r="P30" s="196">
        <f t="shared" si="3"/>
        <v>1440726</v>
      </c>
      <c r="R30" s="44"/>
      <c r="S30" s="44"/>
      <c r="V30" s="221"/>
      <c r="Y30" s="222"/>
      <c r="Z30" s="222"/>
      <c r="AA30" s="222"/>
      <c r="AD30" s="222"/>
    </row>
    <row r="31" spans="1:31" s="182" customFormat="1" x14ac:dyDescent="0.25">
      <c r="A31" s="157" t="s">
        <v>151</v>
      </c>
      <c r="B31" s="418">
        <v>0</v>
      </c>
      <c r="C31" s="260">
        <v>0</v>
      </c>
      <c r="D31" s="418">
        <v>0</v>
      </c>
      <c r="E31" s="260">
        <v>0</v>
      </c>
      <c r="F31" s="418">
        <v>0</v>
      </c>
      <c r="G31" s="260">
        <v>0</v>
      </c>
      <c r="H31" s="195">
        <v>0</v>
      </c>
      <c r="I31" s="202">
        <v>0</v>
      </c>
      <c r="J31" s="195">
        <v>0</v>
      </c>
      <c r="K31" s="202">
        <v>0</v>
      </c>
      <c r="L31" s="195">
        <v>0</v>
      </c>
      <c r="M31" s="202">
        <v>0</v>
      </c>
      <c r="N31" s="195">
        <v>0</v>
      </c>
      <c r="O31" s="202">
        <v>0</v>
      </c>
      <c r="P31" s="196">
        <f t="shared" si="3"/>
        <v>0</v>
      </c>
      <c r="R31" s="44"/>
      <c r="S31" s="44"/>
      <c r="V31" s="221"/>
      <c r="Y31" s="222"/>
      <c r="Z31" s="222"/>
      <c r="AA31" s="222"/>
      <c r="AD31" s="222"/>
    </row>
    <row r="32" spans="1:31" s="182" customFormat="1" x14ac:dyDescent="0.25">
      <c r="A32" s="157" t="s">
        <v>150</v>
      </c>
      <c r="B32" s="418">
        <f>+C32*C10</f>
        <v>111810</v>
      </c>
      <c r="C32" s="260">
        <f>6000-C29</f>
        <v>3727</v>
      </c>
      <c r="D32" s="418">
        <f>+E32*E10</f>
        <v>117831</v>
      </c>
      <c r="E32" s="260">
        <f>6000-E29</f>
        <v>3801</v>
      </c>
      <c r="F32" s="418">
        <f>+G32*G10</f>
        <v>0</v>
      </c>
      <c r="G32" s="260">
        <v>0</v>
      </c>
      <c r="H32" s="195">
        <f>+I32*I10</f>
        <v>0</v>
      </c>
      <c r="I32" s="202">
        <v>0</v>
      </c>
      <c r="J32" s="195">
        <f>+K32*K10</f>
        <v>117831</v>
      </c>
      <c r="K32" s="202">
        <f>6000-K29</f>
        <v>3801</v>
      </c>
      <c r="L32" s="195">
        <f>+M32*M10</f>
        <v>111810</v>
      </c>
      <c r="M32" s="202">
        <f>6000-M29</f>
        <v>3727</v>
      </c>
      <c r="N32" s="195">
        <f>+O32*O10</f>
        <v>117831</v>
      </c>
      <c r="O32" s="202">
        <f>6000-O29</f>
        <v>3801</v>
      </c>
      <c r="P32" s="196">
        <f t="shared" si="3"/>
        <v>577113</v>
      </c>
      <c r="R32" s="44"/>
      <c r="S32" s="44"/>
      <c r="V32" s="221"/>
      <c r="Y32" s="222"/>
      <c r="Z32" s="222"/>
      <c r="AA32" s="222"/>
      <c r="AD32" s="222"/>
    </row>
    <row r="33" spans="1:31" s="182" customFormat="1" x14ac:dyDescent="0.25">
      <c r="A33" s="157" t="s">
        <v>185</v>
      </c>
      <c r="B33" s="418">
        <f>+C33*C10</f>
        <v>0</v>
      </c>
      <c r="C33" s="260">
        <v>0</v>
      </c>
      <c r="D33" s="418">
        <f>+E33*E10</f>
        <v>0</v>
      </c>
      <c r="E33" s="260">
        <v>0</v>
      </c>
      <c r="F33" s="418">
        <f>+G33*G10</f>
        <v>0</v>
      </c>
      <c r="G33" s="260">
        <v>0</v>
      </c>
      <c r="H33" s="195">
        <f>+I33*I10</f>
        <v>0</v>
      </c>
      <c r="I33" s="202">
        <v>0</v>
      </c>
      <c r="J33" s="195">
        <f>+K33*K10</f>
        <v>77717</v>
      </c>
      <c r="K33" s="202">
        <f>6308-K32</f>
        <v>2507</v>
      </c>
      <c r="L33" s="195">
        <f>+M33*M10</f>
        <v>77430</v>
      </c>
      <c r="M33" s="202">
        <f>6308-M32</f>
        <v>2581</v>
      </c>
      <c r="N33" s="195">
        <f>+O33*O10</f>
        <v>77717</v>
      </c>
      <c r="O33" s="202">
        <f>6308-O32</f>
        <v>2507</v>
      </c>
      <c r="P33" s="196">
        <f t="shared" si="3"/>
        <v>232864</v>
      </c>
      <c r="R33" s="44"/>
      <c r="S33" s="44"/>
      <c r="Y33" s="222"/>
      <c r="Z33" s="222"/>
      <c r="AA33" s="222"/>
      <c r="AD33" s="222"/>
      <c r="AE33" s="222"/>
    </row>
    <row r="34" spans="1:31" x14ac:dyDescent="0.25">
      <c r="A34" s="223" t="s">
        <v>23</v>
      </c>
      <c r="B34" s="419">
        <f>SUM(B27:B33)</f>
        <v>936780</v>
      </c>
      <c r="C34" s="394">
        <f t="shared" ref="C34:O34" si="4">SUM(C27:C33)</f>
        <v>31226</v>
      </c>
      <c r="D34" s="419">
        <f>SUM(D27:D33)</f>
        <v>833001</v>
      </c>
      <c r="E34" s="394">
        <f t="shared" si="4"/>
        <v>26871</v>
      </c>
      <c r="F34" s="427">
        <f>SUM(F27:F33)</f>
        <v>1137750</v>
      </c>
      <c r="G34" s="395">
        <f>SUM(G27:G33)</f>
        <v>37925</v>
      </c>
      <c r="H34" s="211">
        <f>SUM(H27:H33)</f>
        <v>868806</v>
      </c>
      <c r="I34" s="212">
        <f>SUM(I27:I33)</f>
        <v>25548</v>
      </c>
      <c r="J34" s="211">
        <f t="shared" si="4"/>
        <v>987536</v>
      </c>
      <c r="K34" s="212">
        <f t="shared" si="4"/>
        <v>31856</v>
      </c>
      <c r="L34" s="211">
        <f t="shared" si="4"/>
        <v>1014210</v>
      </c>
      <c r="M34" s="212">
        <f t="shared" si="4"/>
        <v>33807</v>
      </c>
      <c r="N34" s="211">
        <f t="shared" si="4"/>
        <v>1020458</v>
      </c>
      <c r="O34" s="212">
        <f t="shared" si="4"/>
        <v>32918</v>
      </c>
      <c r="P34" s="213">
        <f>SUM(P27:P33)</f>
        <v>6798541</v>
      </c>
      <c r="R34" s="206"/>
      <c r="S34" s="206"/>
    </row>
    <row r="35" spans="1:31" x14ac:dyDescent="0.25">
      <c r="A35" s="114"/>
      <c r="B35" s="418"/>
      <c r="C35" s="260"/>
      <c r="D35" s="417"/>
      <c r="E35" s="260"/>
      <c r="F35" s="420"/>
      <c r="G35" s="421"/>
      <c r="H35" s="203"/>
      <c r="I35" s="204"/>
      <c r="J35" s="203"/>
      <c r="K35" s="204"/>
      <c r="L35" s="203"/>
      <c r="M35" s="204"/>
      <c r="N35" s="203"/>
      <c r="O35" s="204"/>
      <c r="P35" s="205"/>
      <c r="R35" s="25"/>
    </row>
    <row r="36" spans="1:31" x14ac:dyDescent="0.25">
      <c r="A36" s="114" t="s">
        <v>152</v>
      </c>
      <c r="B36" s="431">
        <f>+C36*C10</f>
        <v>286200</v>
      </c>
      <c r="C36" s="260">
        <f>ROUND(+C14+C57,0)</f>
        <v>9540</v>
      </c>
      <c r="D36" s="431">
        <f>+E36*E10</f>
        <v>184326</v>
      </c>
      <c r="E36" s="260">
        <v>5946</v>
      </c>
      <c r="F36" s="431">
        <f>+G36*G10</f>
        <v>332190</v>
      </c>
      <c r="G36" s="260">
        <v>11073</v>
      </c>
      <c r="H36" s="224">
        <f>+I36*I10</f>
        <v>232996</v>
      </c>
      <c r="I36" s="202">
        <v>7516</v>
      </c>
      <c r="J36" s="224">
        <f>+K36*K10</f>
        <v>214923</v>
      </c>
      <c r="K36" s="202">
        <f>ROUND(+K14+K57,0)</f>
        <v>6933</v>
      </c>
      <c r="L36" s="224">
        <f>+M36*M10</f>
        <v>231270</v>
      </c>
      <c r="M36" s="202">
        <f>ROUND(+M14+M57,0)</f>
        <v>7709</v>
      </c>
      <c r="N36" s="224">
        <f>+O36*O10</f>
        <v>283681</v>
      </c>
      <c r="O36" s="202">
        <f>ROUND(+O14+O57,0)</f>
        <v>9151</v>
      </c>
      <c r="P36" s="205">
        <f>ROUND(+P14+P57,0)</f>
        <v>1679797</v>
      </c>
      <c r="Q36" s="48"/>
      <c r="R36" s="17"/>
      <c r="S36" s="17"/>
      <c r="T36" s="225"/>
    </row>
    <row r="37" spans="1:31" x14ac:dyDescent="0.25">
      <c r="A37" s="114" t="s">
        <v>153</v>
      </c>
      <c r="B37" s="418">
        <f>+C37*C10</f>
        <v>1096320</v>
      </c>
      <c r="C37" s="260">
        <f>ROUND(+C18+C28+C30+C58,0)</f>
        <v>36544</v>
      </c>
      <c r="D37" s="418">
        <f>+E37*E10</f>
        <v>763995</v>
      </c>
      <c r="E37" s="260">
        <v>24645</v>
      </c>
      <c r="F37" s="418">
        <f>+G37*G10</f>
        <v>996720</v>
      </c>
      <c r="G37" s="260">
        <v>33224</v>
      </c>
      <c r="H37" s="195">
        <f>+I37*I10</f>
        <v>832474</v>
      </c>
      <c r="I37" s="202">
        <v>26854</v>
      </c>
      <c r="J37" s="195">
        <f>+K37*K10</f>
        <v>791213</v>
      </c>
      <c r="K37" s="202">
        <f>ROUND(+K18+K28+K30+K58,0)</f>
        <v>25523</v>
      </c>
      <c r="L37" s="195">
        <f>+M37*M10</f>
        <v>897720</v>
      </c>
      <c r="M37" s="202">
        <f>ROUND(+M18+M28+M30+M58,0)</f>
        <v>29924</v>
      </c>
      <c r="N37" s="195">
        <f>+O37*O10</f>
        <v>1127997</v>
      </c>
      <c r="O37" s="202">
        <f>ROUND(+O18+O28+O30+O58,0)</f>
        <v>36387</v>
      </c>
      <c r="P37" s="196">
        <f>ROUND(+P18+P58+P28+P30,0)</f>
        <v>6369501</v>
      </c>
      <c r="R37" s="17"/>
      <c r="S37" s="17"/>
      <c r="T37" s="225"/>
    </row>
    <row r="38" spans="1:31" x14ac:dyDescent="0.25">
      <c r="A38" s="114" t="s">
        <v>154</v>
      </c>
      <c r="B38" s="432">
        <f>+C38*C10</f>
        <v>103620</v>
      </c>
      <c r="C38" s="433">
        <f>ROUND(+C23+C59,0)</f>
        <v>3454</v>
      </c>
      <c r="D38" s="432">
        <f>+E38*E10</f>
        <v>61349</v>
      </c>
      <c r="E38" s="433">
        <v>1979</v>
      </c>
      <c r="F38" s="432">
        <f>+G38*G10</f>
        <v>102750</v>
      </c>
      <c r="G38" s="433">
        <v>3425</v>
      </c>
      <c r="H38" s="154">
        <f>+I38*I10</f>
        <v>67518</v>
      </c>
      <c r="I38" s="155">
        <f>ROUND(+I23+E70,0)</f>
        <v>2178</v>
      </c>
      <c r="J38" s="154">
        <f>+K38*K10</f>
        <v>71610</v>
      </c>
      <c r="K38" s="155">
        <f>ROUND(+K23+K59,0)</f>
        <v>2310</v>
      </c>
      <c r="L38" s="154">
        <f>+M38*M10</f>
        <v>76920</v>
      </c>
      <c r="M38" s="155">
        <f>ROUND(+M23+M59,0)</f>
        <v>2564</v>
      </c>
      <c r="N38" s="154">
        <f>+O38*O10</f>
        <v>103757</v>
      </c>
      <c r="O38" s="155">
        <f>ROUND(+O23+O59,0)</f>
        <v>3347</v>
      </c>
      <c r="P38" s="156">
        <f>ROUND(+P23+P59,0)</f>
        <v>570890</v>
      </c>
      <c r="Q38" s="48"/>
      <c r="R38" s="17"/>
      <c r="S38" s="17"/>
      <c r="T38" s="225"/>
    </row>
    <row r="39" spans="1:31" x14ac:dyDescent="0.25">
      <c r="A39" s="158" t="s">
        <v>24</v>
      </c>
      <c r="B39" s="418">
        <f>+C39*C10</f>
        <v>1486140</v>
      </c>
      <c r="C39" s="260">
        <f>SUM(C36:C38)</f>
        <v>49538</v>
      </c>
      <c r="D39" s="418">
        <f>+E39*E10</f>
        <v>1009670</v>
      </c>
      <c r="E39" s="260">
        <f>SUM(E36:E38)</f>
        <v>32570</v>
      </c>
      <c r="F39" s="418">
        <f>+G39*G10</f>
        <v>1431660</v>
      </c>
      <c r="G39" s="260">
        <f>SUM(G36:G38)</f>
        <v>47722</v>
      </c>
      <c r="H39" s="195">
        <f>+I39*I10</f>
        <v>1132988</v>
      </c>
      <c r="I39" s="202">
        <f>SUM(I36:I38)</f>
        <v>36548</v>
      </c>
      <c r="J39" s="195">
        <f>+K39*K10</f>
        <v>1077746</v>
      </c>
      <c r="K39" s="202">
        <f>SUM(K36:K38)</f>
        <v>34766</v>
      </c>
      <c r="L39" s="195">
        <f>+M39*M10</f>
        <v>1205910</v>
      </c>
      <c r="M39" s="202">
        <f>SUM(M36:M38)</f>
        <v>40197</v>
      </c>
      <c r="N39" s="195">
        <f>+O39*O10</f>
        <v>1515435</v>
      </c>
      <c r="O39" s="202">
        <f>SUM(O36:O38)</f>
        <v>48885</v>
      </c>
      <c r="P39" s="196">
        <f>SUM(P36:P38)</f>
        <v>8620188</v>
      </c>
      <c r="R39" s="17"/>
      <c r="S39" s="17"/>
      <c r="T39" s="225"/>
    </row>
    <row r="40" spans="1:31" x14ac:dyDescent="0.25">
      <c r="A40" s="158" t="s">
        <v>25</v>
      </c>
      <c r="B40" s="418">
        <f>+C40*C10</f>
        <v>30000</v>
      </c>
      <c r="C40" s="260">
        <f t="shared" ref="C40:P40" si="5">C15</f>
        <v>1000</v>
      </c>
      <c r="D40" s="417">
        <f>+E40*E10</f>
        <v>31000</v>
      </c>
      <c r="E40" s="260">
        <f t="shared" si="5"/>
        <v>1000</v>
      </c>
      <c r="F40" s="420">
        <f>+G40*G10</f>
        <v>30000</v>
      </c>
      <c r="G40" s="421">
        <f>G15</f>
        <v>1000</v>
      </c>
      <c r="H40" s="203">
        <f>+I40*I10</f>
        <v>31000</v>
      </c>
      <c r="I40" s="204">
        <f>I15</f>
        <v>1000</v>
      </c>
      <c r="J40" s="203">
        <f>+K40*K10</f>
        <v>31000</v>
      </c>
      <c r="K40" s="204">
        <f t="shared" si="5"/>
        <v>1000</v>
      </c>
      <c r="L40" s="203">
        <f>+M40*M10</f>
        <v>30000</v>
      </c>
      <c r="M40" s="204">
        <f t="shared" si="5"/>
        <v>1000</v>
      </c>
      <c r="N40" s="203">
        <f>+O40*O10</f>
        <v>31000</v>
      </c>
      <c r="O40" s="204">
        <f t="shared" si="5"/>
        <v>1000</v>
      </c>
      <c r="P40" s="205">
        <f t="shared" si="5"/>
        <v>214000</v>
      </c>
    </row>
    <row r="41" spans="1:31" x14ac:dyDescent="0.25">
      <c r="A41" s="158" t="s">
        <v>26</v>
      </c>
      <c r="B41" s="418">
        <f>+C41*C10</f>
        <v>180000</v>
      </c>
      <c r="C41" s="260">
        <f>+C29+C31+C32+C33</f>
        <v>6000</v>
      </c>
      <c r="D41" s="418">
        <f>+E41*E10</f>
        <v>186000</v>
      </c>
      <c r="E41" s="260">
        <f>+E29+E31+E32+E33</f>
        <v>6000</v>
      </c>
      <c r="F41" s="418">
        <f>+G41*G10</f>
        <v>68190</v>
      </c>
      <c r="G41" s="260">
        <f>+G29+G31+G32+G33</f>
        <v>2273</v>
      </c>
      <c r="H41" s="195">
        <f>+I41*I10</f>
        <v>68169</v>
      </c>
      <c r="I41" s="202">
        <f>+I29+I31+I32+I33</f>
        <v>2199</v>
      </c>
      <c r="J41" s="195">
        <f>+K41*K10</f>
        <v>263717</v>
      </c>
      <c r="K41" s="202">
        <f>+K29+K31+K32+K33</f>
        <v>8507</v>
      </c>
      <c r="L41" s="195">
        <f>+M41*M10</f>
        <v>257430</v>
      </c>
      <c r="M41" s="202">
        <f>+M29+M31+M32+M33</f>
        <v>8581</v>
      </c>
      <c r="N41" s="195">
        <f>+O41*O10</f>
        <v>263717</v>
      </c>
      <c r="O41" s="202">
        <f>+O29+O31+O32+O33</f>
        <v>8507</v>
      </c>
      <c r="P41" s="196">
        <f t="shared" ref="P41" si="6">+P32+P33</f>
        <v>809977</v>
      </c>
      <c r="Q41" s="194"/>
      <c r="R41" s="49"/>
    </row>
    <row r="42" spans="1:31" x14ac:dyDescent="0.25">
      <c r="A42" s="114"/>
      <c r="B42" s="418"/>
      <c r="C42" s="260"/>
      <c r="D42" s="417"/>
      <c r="E42" s="260"/>
      <c r="F42" s="420"/>
      <c r="G42" s="421"/>
      <c r="H42" s="203"/>
      <c r="I42" s="204"/>
      <c r="J42" s="203"/>
      <c r="K42" s="204"/>
      <c r="L42" s="203"/>
      <c r="M42" s="204"/>
      <c r="N42" s="203"/>
      <c r="O42" s="204"/>
      <c r="P42" s="226"/>
    </row>
    <row r="43" spans="1:31" s="182" customFormat="1" ht="13.8" thickBot="1" x14ac:dyDescent="0.3">
      <c r="A43" s="159" t="s">
        <v>10</v>
      </c>
      <c r="B43" s="434">
        <f>+C43*C10</f>
        <v>1696140</v>
      </c>
      <c r="C43" s="435">
        <f>SUM(C39:C41)</f>
        <v>56538</v>
      </c>
      <c r="D43" s="434">
        <f>+E43*E10</f>
        <v>1226670</v>
      </c>
      <c r="E43" s="435">
        <f>+E39+E40+E41+E42</f>
        <v>39570</v>
      </c>
      <c r="F43" s="434">
        <f>+G43*G10</f>
        <v>1529850</v>
      </c>
      <c r="G43" s="435">
        <f>+G39+G40+G41+G42</f>
        <v>50995</v>
      </c>
      <c r="H43" s="227">
        <f>+I43*I10</f>
        <v>1232157</v>
      </c>
      <c r="I43" s="228">
        <f>+I39+I40+I41+I42</f>
        <v>39747</v>
      </c>
      <c r="J43" s="227">
        <f>+K43*K10</f>
        <v>1372463</v>
      </c>
      <c r="K43" s="228">
        <f>+K39+K40+K41+K42</f>
        <v>44273</v>
      </c>
      <c r="L43" s="227">
        <f>+M43*M10</f>
        <v>1493340</v>
      </c>
      <c r="M43" s="228">
        <f>+M39+M40+M41+M42</f>
        <v>49778</v>
      </c>
      <c r="N43" s="227">
        <f>+O43*O10</f>
        <v>1810152</v>
      </c>
      <c r="O43" s="228">
        <f>+O39+O40+O41+O42</f>
        <v>58392</v>
      </c>
      <c r="P43" s="249">
        <f>+P25+P34</f>
        <v>10335414</v>
      </c>
      <c r="Q43" s="229"/>
      <c r="R43" s="180"/>
    </row>
    <row r="44" spans="1:31" ht="13.8" thickTop="1" x14ac:dyDescent="0.25">
      <c r="A44" s="49"/>
      <c r="B44" s="194"/>
      <c r="C44" s="194"/>
      <c r="D44" s="194"/>
      <c r="E44" s="194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31" x14ac:dyDescent="0.25">
      <c r="A45" s="180" t="s">
        <v>11</v>
      </c>
      <c r="B45" s="194"/>
      <c r="C45" s="194"/>
      <c r="D45" s="194"/>
      <c r="E45" s="194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V45" s="230"/>
      <c r="W45" s="231"/>
      <c r="X45" s="183"/>
      <c r="Y45" s="183"/>
      <c r="Z45" s="183"/>
      <c r="AA45" s="183"/>
    </row>
    <row r="46" spans="1:31" x14ac:dyDescent="0.25">
      <c r="A46" s="180" t="s">
        <v>165</v>
      </c>
      <c r="V46" s="232"/>
      <c r="W46" s="233"/>
      <c r="X46" s="183"/>
      <c r="Y46" s="183"/>
      <c r="Z46" s="183"/>
      <c r="AA46" s="183"/>
    </row>
    <row r="47" spans="1:31" x14ac:dyDescent="0.25">
      <c r="V47" s="232"/>
      <c r="W47" s="233"/>
      <c r="X47" s="183"/>
      <c r="Y47" s="183"/>
      <c r="Z47" s="183"/>
      <c r="AA47" s="183"/>
    </row>
    <row r="48" spans="1:31" x14ac:dyDescent="0.25">
      <c r="A48" s="183" t="s">
        <v>157</v>
      </c>
      <c r="B48" s="194">
        <f>SUM(B28:B33)</f>
        <v>442920</v>
      </c>
      <c r="C48" s="194">
        <f>B48/$C$10</f>
        <v>14764</v>
      </c>
      <c r="D48" s="194">
        <f>SUM(D28:D33)</f>
        <v>448880</v>
      </c>
      <c r="E48" s="194">
        <f>D48/E$10</f>
        <v>14480</v>
      </c>
      <c r="F48" s="194">
        <f>SUM(F28:F33)</f>
        <v>331110</v>
      </c>
      <c r="G48" s="203">
        <f>F48/G$10</f>
        <v>11037</v>
      </c>
      <c r="H48" s="194">
        <f>SUM(H28:H33)</f>
        <v>331049</v>
      </c>
      <c r="I48" s="203">
        <f>H48/I$10</f>
        <v>10679</v>
      </c>
      <c r="J48" s="194">
        <f>SUM(J28:J33)</f>
        <v>526597</v>
      </c>
      <c r="K48" s="203">
        <f>J48/K$10</f>
        <v>16987</v>
      </c>
      <c r="L48" s="194">
        <f>SUM(L28:L33)</f>
        <v>520350</v>
      </c>
      <c r="M48" s="203">
        <f>L48/M$10</f>
        <v>17345</v>
      </c>
      <c r="N48" s="194">
        <f>SUM(N28:N33)</f>
        <v>526597</v>
      </c>
      <c r="O48" s="203">
        <f>N48/O$10</f>
        <v>16987</v>
      </c>
      <c r="P48" s="203">
        <f>B48+D48+F48+H48+J48+L48+N48</f>
        <v>3127503</v>
      </c>
      <c r="V48" s="183"/>
      <c r="W48" s="183"/>
      <c r="X48" s="438"/>
      <c r="Y48" s="438"/>
      <c r="Z48" s="183"/>
      <c r="AA48" s="183"/>
    </row>
    <row r="49" spans="1:28" x14ac:dyDescent="0.25">
      <c r="B49" s="25"/>
      <c r="C49" s="25"/>
      <c r="D49" s="25"/>
      <c r="S49" s="250" t="s">
        <v>46</v>
      </c>
      <c r="V49" s="183"/>
      <c r="W49" s="183"/>
      <c r="X49" s="183"/>
      <c r="Y49" s="183"/>
      <c r="Z49" s="183"/>
      <c r="AA49" s="183"/>
      <c r="AB49" s="206"/>
    </row>
    <row r="50" spans="1:28" x14ac:dyDescent="0.25">
      <c r="A50" s="209" t="s">
        <v>158</v>
      </c>
      <c r="B50" s="206">
        <v>1335000</v>
      </c>
      <c r="S50" s="250" t="s">
        <v>15</v>
      </c>
      <c r="Y50" s="206"/>
      <c r="AA50" s="206"/>
    </row>
    <row r="51" spans="1:28" x14ac:dyDescent="0.25">
      <c r="A51" s="209" t="s">
        <v>159</v>
      </c>
      <c r="B51" s="206">
        <v>2130000</v>
      </c>
      <c r="S51" s="206">
        <v>1335000</v>
      </c>
      <c r="T51" s="180" t="s">
        <v>12</v>
      </c>
      <c r="Y51" s="206"/>
      <c r="AA51" s="206"/>
      <c r="AB51" s="206"/>
    </row>
    <row r="52" spans="1:28" x14ac:dyDescent="0.25">
      <c r="A52" s="209" t="s">
        <v>160</v>
      </c>
      <c r="B52" s="206">
        <v>376150</v>
      </c>
      <c r="S52" s="206">
        <v>2130000</v>
      </c>
      <c r="T52" s="180" t="s">
        <v>13</v>
      </c>
      <c r="AB52" s="206"/>
    </row>
    <row r="53" spans="1:28" ht="13.8" thickBot="1" x14ac:dyDescent="0.3">
      <c r="B53" s="250" t="s">
        <v>34</v>
      </c>
      <c r="D53" s="250" t="s">
        <v>35</v>
      </c>
      <c r="F53" s="250" t="s">
        <v>36</v>
      </c>
      <c r="H53" s="250" t="s">
        <v>37</v>
      </c>
      <c r="J53" s="250" t="s">
        <v>38</v>
      </c>
      <c r="L53" s="250" t="s">
        <v>39</v>
      </c>
      <c r="N53" s="250" t="s">
        <v>40</v>
      </c>
      <c r="S53" s="234">
        <v>376150</v>
      </c>
      <c r="T53" s="180" t="s">
        <v>14</v>
      </c>
    </row>
    <row r="54" spans="1:28" ht="13.8" thickTop="1" x14ac:dyDescent="0.25">
      <c r="B54" s="235">
        <f>+B55/$S54</f>
        <v>0.12857142857142856</v>
      </c>
      <c r="D54" s="235">
        <f>+D55/$S54</f>
        <v>0.12857142857142856</v>
      </c>
      <c r="F54" s="235">
        <f>+F55/$S54</f>
        <v>0.12857142857142856</v>
      </c>
      <c r="H54" s="235">
        <f>+H55/$S54</f>
        <v>0.12857142857142856</v>
      </c>
      <c r="J54" s="235">
        <f>+J55/$S54</f>
        <v>0.12857142857142856</v>
      </c>
      <c r="L54" s="235">
        <f>+L55/$S54</f>
        <v>0.12857142857142856</v>
      </c>
      <c r="N54" s="235">
        <f>+N55/$S54</f>
        <v>0.12857142857142856</v>
      </c>
      <c r="P54" s="236">
        <f>SUM(B54:N54)</f>
        <v>0.89999999999999991</v>
      </c>
      <c r="S54" s="17">
        <f>SUM(S51:S53)</f>
        <v>3841150</v>
      </c>
      <c r="T54" s="206"/>
    </row>
    <row r="55" spans="1:28" x14ac:dyDescent="0.25">
      <c r="A55" s="237" t="s">
        <v>31</v>
      </c>
      <c r="B55" s="166">
        <f>$P$60/7</f>
        <v>493862.14285714278</v>
      </c>
      <c r="C55" s="250" t="s">
        <v>188</v>
      </c>
      <c r="D55" s="166">
        <f>$P$60/7</f>
        <v>493862.14285714278</v>
      </c>
      <c r="F55" s="166">
        <f>$P$60/7</f>
        <v>493862.14285714278</v>
      </c>
      <c r="H55" s="166">
        <f>$P$60/7</f>
        <v>493862.14285714278</v>
      </c>
      <c r="J55" s="166">
        <f>$P$60/7</f>
        <v>493862.14285714278</v>
      </c>
      <c r="L55" s="166">
        <f>$P$60/7</f>
        <v>493862.14285714278</v>
      </c>
      <c r="N55" s="166">
        <f>$P$60/7</f>
        <v>493862.14285714278</v>
      </c>
      <c r="P55" s="238">
        <f>SUM(B55:N55)</f>
        <v>3457034.9999999995</v>
      </c>
      <c r="Q55" s="246">
        <f>+P55/S54</f>
        <v>0.89999999999999991</v>
      </c>
      <c r="S55" s="180" t="s">
        <v>161</v>
      </c>
      <c r="T55" s="180" t="s">
        <v>45</v>
      </c>
    </row>
    <row r="56" spans="1:28" x14ac:dyDescent="0.25">
      <c r="D56" s="35"/>
      <c r="F56" s="35"/>
      <c r="H56" s="35"/>
      <c r="J56" s="35"/>
      <c r="L56" s="35"/>
      <c r="N56" s="35"/>
      <c r="P56" s="239"/>
      <c r="S56" s="240" t="s">
        <v>155</v>
      </c>
      <c r="T56" s="241">
        <v>0.95</v>
      </c>
    </row>
    <row r="57" spans="1:28" x14ac:dyDescent="0.25">
      <c r="A57" s="242" t="s">
        <v>27</v>
      </c>
      <c r="B57" s="25">
        <f>(+$T57-$S57)/7</f>
        <v>171642.85714285713</v>
      </c>
      <c r="C57" s="45">
        <f>+B57/$C$10</f>
        <v>5721.4285714285706</v>
      </c>
      <c r="D57" s="25">
        <f>(+$T57-$S57)/7</f>
        <v>171642.85714285713</v>
      </c>
      <c r="E57" s="45">
        <f>+D57/$E$10</f>
        <v>5536.8663594470045</v>
      </c>
      <c r="F57" s="25">
        <f>(+$T57-$S57)/7</f>
        <v>171642.85714285713</v>
      </c>
      <c r="G57" s="45">
        <f>+F57/$G$10</f>
        <v>5721.4285714285706</v>
      </c>
      <c r="H57" s="25">
        <f>(+$T57-$S57)/7</f>
        <v>171642.85714285713</v>
      </c>
      <c r="I57" s="45">
        <f>+H57/$I$10</f>
        <v>5536.8663594470045</v>
      </c>
      <c r="J57" s="25">
        <f>(+$T57-$S57)/7</f>
        <v>171642.85714285713</v>
      </c>
      <c r="K57" s="45">
        <f>+J57/$K$10</f>
        <v>5536.8663594470045</v>
      </c>
      <c r="L57" s="25">
        <f>(+$T57-$S57)/7</f>
        <v>171642.85714285713</v>
      </c>
      <c r="M57" s="45">
        <f>+L57/$M$10</f>
        <v>5721.4285714285706</v>
      </c>
      <c r="N57" s="25">
        <f>(+$T57-$S57)/7</f>
        <v>171642.85714285713</v>
      </c>
      <c r="O57" s="45">
        <f>+N57/$O$10</f>
        <v>5536.8663594470045</v>
      </c>
      <c r="P57" s="153">
        <f>+B57+D57+F57+H57+J57+L57+N57</f>
        <v>1201500</v>
      </c>
      <c r="R57" s="241">
        <v>0.05</v>
      </c>
      <c r="S57" s="243">
        <f>+R57*S51</f>
        <v>66750</v>
      </c>
      <c r="T57" s="153">
        <f>+T$56*S51</f>
        <v>1268250</v>
      </c>
      <c r="U57" s="153">
        <f>+P57+S57</f>
        <v>1268250</v>
      </c>
    </row>
    <row r="58" spans="1:28" x14ac:dyDescent="0.25">
      <c r="A58" s="242" t="s">
        <v>28</v>
      </c>
      <c r="B58" s="25">
        <f>(+$T58-$S58)/7</f>
        <v>273857.14285714284</v>
      </c>
      <c r="C58" s="45">
        <f t="shared" ref="C58:C59" si="7">+B58/$C$10</f>
        <v>9128.5714285714275</v>
      </c>
      <c r="D58" s="25">
        <f>(+$T58-$S58)/7</f>
        <v>273857.14285714284</v>
      </c>
      <c r="E58" s="45">
        <f t="shared" ref="E58:E59" si="8">+D58/$E$10</f>
        <v>8834.1013824884794</v>
      </c>
      <c r="F58" s="25">
        <f>(+$T58-$S58)/7</f>
        <v>273857.14285714284</v>
      </c>
      <c r="G58" s="45">
        <f t="shared" ref="G58:G59" si="9">+F58/$G$10</f>
        <v>9128.5714285714275</v>
      </c>
      <c r="H58" s="25">
        <f>(+$T58-$S58)/7</f>
        <v>273857.14285714284</v>
      </c>
      <c r="I58" s="45">
        <f t="shared" ref="I58:I59" si="10">+H58/$I$10</f>
        <v>8834.1013824884794</v>
      </c>
      <c r="J58" s="25">
        <f>(+$T58-$S58)/7</f>
        <v>273857.14285714284</v>
      </c>
      <c r="K58" s="45">
        <f t="shared" ref="K58:K59" si="11">+J58/$K$10</f>
        <v>8834.1013824884794</v>
      </c>
      <c r="L58" s="25">
        <f>(+$T58-$S58)/7</f>
        <v>273857.14285714284</v>
      </c>
      <c r="M58" s="45">
        <f t="shared" ref="M58:M59" si="12">+L58/$M$10</f>
        <v>9128.5714285714275</v>
      </c>
      <c r="N58" s="25">
        <f>(+$T58-$S58)/7</f>
        <v>273857.14285714284</v>
      </c>
      <c r="O58" s="45">
        <f t="shared" ref="O58:O59" si="13">+N58/$O$10</f>
        <v>8834.1013824884794</v>
      </c>
      <c r="P58" s="153">
        <f t="shared" ref="P58:P59" si="14">+B58+D58+F58+H58+J58+L58+N58</f>
        <v>1916999.9999999995</v>
      </c>
      <c r="R58" s="241">
        <v>0.05</v>
      </c>
      <c r="S58" s="243">
        <f>+R58*S52</f>
        <v>106500</v>
      </c>
      <c r="T58" s="153">
        <f>+T$56*S52</f>
        <v>2023500</v>
      </c>
      <c r="U58" s="153">
        <f>+P58+S58</f>
        <v>2023499.9999999995</v>
      </c>
    </row>
    <row r="59" spans="1:28" x14ac:dyDescent="0.25">
      <c r="A59" s="242" t="s">
        <v>29</v>
      </c>
      <c r="B59" s="25">
        <f>(+$T59-$S59)/7</f>
        <v>48362.142857142855</v>
      </c>
      <c r="C59" s="45">
        <f t="shared" si="7"/>
        <v>1612.0714285714284</v>
      </c>
      <c r="D59" s="25">
        <f>(+$T59-$S59)/7</f>
        <v>48362.142857142855</v>
      </c>
      <c r="E59" s="45">
        <f t="shared" si="8"/>
        <v>1560.0691244239631</v>
      </c>
      <c r="F59" s="25">
        <f>(+$T59-$S59)/7</f>
        <v>48362.142857142855</v>
      </c>
      <c r="G59" s="45">
        <f t="shared" si="9"/>
        <v>1612.0714285714284</v>
      </c>
      <c r="H59" s="25">
        <f>(+$T59-$S59)/7</f>
        <v>48362.142857142855</v>
      </c>
      <c r="I59" s="45">
        <f t="shared" si="10"/>
        <v>1560.0691244239631</v>
      </c>
      <c r="J59" s="25">
        <f>(+$T59-$S59)/7</f>
        <v>48362.142857142855</v>
      </c>
      <c r="K59" s="45">
        <f t="shared" si="11"/>
        <v>1560.0691244239631</v>
      </c>
      <c r="L59" s="25">
        <f>(+$T59-$S59)/7</f>
        <v>48362.142857142855</v>
      </c>
      <c r="M59" s="45">
        <f t="shared" si="12"/>
        <v>1612.0714285714284</v>
      </c>
      <c r="N59" s="25">
        <f>(+$T59-$S59)/7</f>
        <v>48362.142857142855</v>
      </c>
      <c r="O59" s="45">
        <f t="shared" si="13"/>
        <v>1560.0691244239631</v>
      </c>
      <c r="P59" s="153">
        <f t="shared" si="14"/>
        <v>338534.99999999994</v>
      </c>
      <c r="R59" s="241">
        <v>0.05</v>
      </c>
      <c r="S59" s="243">
        <f>+R59*S53</f>
        <v>18807.5</v>
      </c>
      <c r="T59" s="153">
        <f>+T$56*S53</f>
        <v>357342.5</v>
      </c>
      <c r="U59" s="153">
        <f>+P59+S59</f>
        <v>357342.49999999994</v>
      </c>
    </row>
    <row r="60" spans="1:28" ht="13.8" thickBot="1" x14ac:dyDescent="0.3">
      <c r="A60" s="242" t="s">
        <v>30</v>
      </c>
      <c r="B60" s="244">
        <f>SUM(B57:B59)</f>
        <v>493862.14285714284</v>
      </c>
      <c r="D60" s="244">
        <f>SUM(D57:D59)</f>
        <v>493862.14285714284</v>
      </c>
      <c r="F60" s="244">
        <f t="shared" ref="F60" si="15">SUM(F57:F59)</f>
        <v>493862.14285714284</v>
      </c>
      <c r="H60" s="244">
        <f>SUM(H57:H59)</f>
        <v>493862.14285714284</v>
      </c>
      <c r="J60" s="244">
        <f>SUM(J57:J59)</f>
        <v>493862.14285714284</v>
      </c>
      <c r="L60" s="244">
        <f>SUM(L57:L59)</f>
        <v>493862.14285714284</v>
      </c>
      <c r="N60" s="244">
        <f>SUM(N57:N59)</f>
        <v>493862.14285714284</v>
      </c>
      <c r="P60" s="244">
        <f>SUM(B60:N60)</f>
        <v>3457034.9999999995</v>
      </c>
      <c r="S60" s="245">
        <f>SUM(S57:S59)</f>
        <v>192057.5</v>
      </c>
      <c r="T60" s="245">
        <f>SUM(T57:T59)</f>
        <v>3649092.5</v>
      </c>
      <c r="U60" s="245">
        <f>SUM(U57:U59)</f>
        <v>3649092.4999999995</v>
      </c>
    </row>
    <row r="61" spans="1:28" ht="13.8" thickTop="1" x14ac:dyDescent="0.25">
      <c r="D61" s="153"/>
      <c r="P61" s="153"/>
      <c r="S61" s="247">
        <f>+S60/$S54</f>
        <v>0.05</v>
      </c>
      <c r="T61" s="247">
        <f>+T60/$S54</f>
        <v>0.95</v>
      </c>
      <c r="U61" s="247">
        <f>+U60/$S54</f>
        <v>0.94999999999999984</v>
      </c>
    </row>
    <row r="62" spans="1:28" x14ac:dyDescent="0.25">
      <c r="P62" s="153"/>
      <c r="R62" s="44"/>
      <c r="S62" s="182"/>
    </row>
    <row r="63" spans="1:28" x14ac:dyDescent="0.25">
      <c r="A63" s="241"/>
      <c r="B63" s="25">
        <f>+'Co-owned storage'!F37</f>
        <v>442886.55000000005</v>
      </c>
      <c r="D63" s="25">
        <f>+'Co-owned storage'!G37</f>
        <v>448907.55000000005</v>
      </c>
      <c r="F63" s="25">
        <f>+'Co-owned storage'!H37</f>
        <v>331076.55000000005</v>
      </c>
      <c r="H63" s="25">
        <f>+'Co-owned storage'!I37</f>
        <v>331076.55000000005</v>
      </c>
      <c r="J63" s="25">
        <f>+'Co-owned storage'!J37</f>
        <v>526624.55000000005</v>
      </c>
      <c r="L63" s="25">
        <f>+'Co-owned storage'!K37</f>
        <v>442886.55000000005</v>
      </c>
      <c r="N63" s="25">
        <f>+'Co-owned storage'!L37</f>
        <v>448907.55000000005</v>
      </c>
      <c r="P63" s="153">
        <f>SUM(B63:N63)</f>
        <v>2972365.8500000006</v>
      </c>
      <c r="S63" s="44" t="s">
        <v>16</v>
      </c>
    </row>
    <row r="64" spans="1:28" x14ac:dyDescent="0.25">
      <c r="A64" s="209" t="s">
        <v>162</v>
      </c>
      <c r="B64" s="153">
        <f>+B48-B63</f>
        <v>33.449999999953434</v>
      </c>
      <c r="D64" s="153">
        <f>+D48-D63</f>
        <v>-27.550000000046566</v>
      </c>
      <c r="F64" s="153">
        <f>+F48-F63</f>
        <v>33.449999999953434</v>
      </c>
      <c r="H64" s="153">
        <f>+H48-H63</f>
        <v>-27.550000000046566</v>
      </c>
      <c r="J64" s="153">
        <f>+J48-J63</f>
        <v>-27.550000000046566</v>
      </c>
      <c r="L64" s="153">
        <f>+L48-L63</f>
        <v>77463.449999999953</v>
      </c>
      <c r="N64" s="153">
        <f>+N48-N63</f>
        <v>77689.449999999953</v>
      </c>
      <c r="P64" s="153">
        <f>+P48-P63</f>
        <v>155137.14999999944</v>
      </c>
      <c r="U64" s="153"/>
    </row>
    <row r="65" spans="1:22" ht="13.8" thickBot="1" x14ac:dyDescent="0.3">
      <c r="V65" s="236"/>
    </row>
    <row r="66" spans="1:22" x14ac:dyDescent="0.25">
      <c r="B66" s="261"/>
      <c r="C66" s="262" t="s">
        <v>228</v>
      </c>
      <c r="D66" s="263" t="s">
        <v>229</v>
      </c>
      <c r="E66" s="264"/>
    </row>
    <row r="67" spans="1:22" x14ac:dyDescent="0.25">
      <c r="B67" s="265"/>
      <c r="C67" s="266">
        <v>0.71</v>
      </c>
      <c r="D67" s="225" t="s">
        <v>231</v>
      </c>
      <c r="E67" s="267"/>
    </row>
    <row r="68" spans="1:22" x14ac:dyDescent="0.25">
      <c r="A68" s="209" t="s">
        <v>230</v>
      </c>
      <c r="B68" s="268">
        <f>+B50*0.59</f>
        <v>787650</v>
      </c>
      <c r="C68" s="35">
        <f>+B50*C67</f>
        <v>947850</v>
      </c>
      <c r="D68" s="239">
        <f>+C68-B68</f>
        <v>160200</v>
      </c>
      <c r="E68" s="269">
        <f>ROUND(D68/31,0)</f>
        <v>5168</v>
      </c>
    </row>
    <row r="69" spans="1:22" x14ac:dyDescent="0.25">
      <c r="B69" s="268">
        <f>+B51*0.59</f>
        <v>1256700</v>
      </c>
      <c r="C69" s="35">
        <f>+B51*C67</f>
        <v>1512300</v>
      </c>
      <c r="D69" s="239">
        <f>+C69-B69</f>
        <v>255600</v>
      </c>
      <c r="E69" s="269">
        <f>ROUND(+D69/31,0)</f>
        <v>8245</v>
      </c>
    </row>
    <row r="70" spans="1:22" ht="15" x14ac:dyDescent="0.4">
      <c r="B70" s="268">
        <f>+B52*0.59</f>
        <v>221928.5</v>
      </c>
      <c r="C70" s="35">
        <f>+B52*C67</f>
        <v>267066.5</v>
      </c>
      <c r="D70" s="270">
        <f>+C70-B70</f>
        <v>45138</v>
      </c>
      <c r="E70" s="271">
        <f>ROUND(+D70/31,0)</f>
        <v>1456</v>
      </c>
    </row>
    <row r="71" spans="1:22" ht="13.8" thickBot="1" x14ac:dyDescent="0.3">
      <c r="B71" s="272"/>
      <c r="C71" s="273"/>
      <c r="D71" s="274">
        <f>SUM(D68:D70)</f>
        <v>460938</v>
      </c>
      <c r="E71" s="275">
        <f>SUM(E68:E70)</f>
        <v>14869</v>
      </c>
    </row>
  </sheetData>
  <mergeCells count="11">
    <mergeCell ref="B9:E9"/>
    <mergeCell ref="AC20:AE20"/>
    <mergeCell ref="X48:Y48"/>
    <mergeCell ref="X20:Z20"/>
    <mergeCell ref="N11:O11"/>
    <mergeCell ref="J11:K11"/>
    <mergeCell ref="L11:M11"/>
    <mergeCell ref="B11:C11"/>
    <mergeCell ref="D11:E11"/>
    <mergeCell ref="F11:G11"/>
    <mergeCell ref="H11:I11"/>
  </mergeCells>
  <phoneticPr fontId="8" type="noConversion"/>
  <printOptions horizontalCentered="1"/>
  <pageMargins left="0.5" right="0.5" top="1" bottom="0.5" header="0.25" footer="0.25"/>
  <pageSetup scale="53" orientation="landscape" horizontalDpi="300" verticalDpi="300" r:id="rId1"/>
  <headerFooter alignWithMargins="0">
    <oddHeader>&amp;R&amp;9&amp;D  &amp;T</oddHeader>
  </headerFooter>
  <colBreaks count="1" manualBreakCount="1">
    <brk id="17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70" zoomScaleNormal="70" workbookViewId="0">
      <selection activeCell="J35" sqref="J35"/>
    </sheetView>
  </sheetViews>
  <sheetFormatPr defaultRowHeight="14.4" x14ac:dyDescent="0.3"/>
  <cols>
    <col min="1" max="1" width="26.6640625" style="277" customWidth="1"/>
    <col min="2" max="3" width="18.6640625" style="277" customWidth="1"/>
    <col min="4" max="4" width="27.6640625" style="277" customWidth="1"/>
    <col min="5" max="5" width="15.6640625" style="277" customWidth="1"/>
    <col min="6" max="7" width="12.6640625" style="277" customWidth="1"/>
    <col min="8" max="8" width="17.6640625" style="277" customWidth="1"/>
    <col min="9" max="10" width="15.6640625" style="277" customWidth="1"/>
    <col min="11" max="13" width="18.6640625" style="276" customWidth="1"/>
    <col min="14" max="21" width="15.88671875" style="276" customWidth="1"/>
    <col min="22" max="256" width="9.109375" style="276"/>
    <col min="257" max="257" width="26.6640625" style="276" customWidth="1"/>
    <col min="258" max="259" width="18.6640625" style="276" customWidth="1"/>
    <col min="260" max="260" width="27.6640625" style="276" customWidth="1"/>
    <col min="261" max="261" width="15.6640625" style="276" customWidth="1"/>
    <col min="262" max="263" width="12.6640625" style="276" customWidth="1"/>
    <col min="264" max="264" width="17.6640625" style="276" customWidth="1"/>
    <col min="265" max="266" width="15.6640625" style="276" customWidth="1"/>
    <col min="267" max="269" width="18.6640625" style="276" customWidth="1"/>
    <col min="270" max="277" width="15.88671875" style="276" customWidth="1"/>
    <col min="278" max="512" width="9.109375" style="276"/>
    <col min="513" max="513" width="26.6640625" style="276" customWidth="1"/>
    <col min="514" max="515" width="18.6640625" style="276" customWidth="1"/>
    <col min="516" max="516" width="27.6640625" style="276" customWidth="1"/>
    <col min="517" max="517" width="15.6640625" style="276" customWidth="1"/>
    <col min="518" max="519" width="12.6640625" style="276" customWidth="1"/>
    <col min="520" max="520" width="17.6640625" style="276" customWidth="1"/>
    <col min="521" max="522" width="15.6640625" style="276" customWidth="1"/>
    <col min="523" max="525" width="18.6640625" style="276" customWidth="1"/>
    <col min="526" max="533" width="15.88671875" style="276" customWidth="1"/>
    <col min="534" max="768" width="9.109375" style="276"/>
    <col min="769" max="769" width="26.6640625" style="276" customWidth="1"/>
    <col min="770" max="771" width="18.6640625" style="276" customWidth="1"/>
    <col min="772" max="772" width="27.6640625" style="276" customWidth="1"/>
    <col min="773" max="773" width="15.6640625" style="276" customWidth="1"/>
    <col min="774" max="775" width="12.6640625" style="276" customWidth="1"/>
    <col min="776" max="776" width="17.6640625" style="276" customWidth="1"/>
    <col min="777" max="778" width="15.6640625" style="276" customWidth="1"/>
    <col min="779" max="781" width="18.6640625" style="276" customWidth="1"/>
    <col min="782" max="789" width="15.88671875" style="276" customWidth="1"/>
    <col min="790" max="1024" width="9.109375" style="276"/>
    <col min="1025" max="1025" width="26.6640625" style="276" customWidth="1"/>
    <col min="1026" max="1027" width="18.6640625" style="276" customWidth="1"/>
    <col min="1028" max="1028" width="27.6640625" style="276" customWidth="1"/>
    <col min="1029" max="1029" width="15.6640625" style="276" customWidth="1"/>
    <col min="1030" max="1031" width="12.6640625" style="276" customWidth="1"/>
    <col min="1032" max="1032" width="17.6640625" style="276" customWidth="1"/>
    <col min="1033" max="1034" width="15.6640625" style="276" customWidth="1"/>
    <col min="1035" max="1037" width="18.6640625" style="276" customWidth="1"/>
    <col min="1038" max="1045" width="15.88671875" style="276" customWidth="1"/>
    <col min="1046" max="1280" width="9.109375" style="276"/>
    <col min="1281" max="1281" width="26.6640625" style="276" customWidth="1"/>
    <col min="1282" max="1283" width="18.6640625" style="276" customWidth="1"/>
    <col min="1284" max="1284" width="27.6640625" style="276" customWidth="1"/>
    <col min="1285" max="1285" width="15.6640625" style="276" customWidth="1"/>
    <col min="1286" max="1287" width="12.6640625" style="276" customWidth="1"/>
    <col min="1288" max="1288" width="17.6640625" style="276" customWidth="1"/>
    <col min="1289" max="1290" width="15.6640625" style="276" customWidth="1"/>
    <col min="1291" max="1293" width="18.6640625" style="276" customWidth="1"/>
    <col min="1294" max="1301" width="15.88671875" style="276" customWidth="1"/>
    <col min="1302" max="1536" width="9.109375" style="276"/>
    <col min="1537" max="1537" width="26.6640625" style="276" customWidth="1"/>
    <col min="1538" max="1539" width="18.6640625" style="276" customWidth="1"/>
    <col min="1540" max="1540" width="27.6640625" style="276" customWidth="1"/>
    <col min="1541" max="1541" width="15.6640625" style="276" customWidth="1"/>
    <col min="1542" max="1543" width="12.6640625" style="276" customWidth="1"/>
    <col min="1544" max="1544" width="17.6640625" style="276" customWidth="1"/>
    <col min="1545" max="1546" width="15.6640625" style="276" customWidth="1"/>
    <col min="1547" max="1549" width="18.6640625" style="276" customWidth="1"/>
    <col min="1550" max="1557" width="15.88671875" style="276" customWidth="1"/>
    <col min="1558" max="1792" width="9.109375" style="276"/>
    <col min="1793" max="1793" width="26.6640625" style="276" customWidth="1"/>
    <col min="1794" max="1795" width="18.6640625" style="276" customWidth="1"/>
    <col min="1796" max="1796" width="27.6640625" style="276" customWidth="1"/>
    <col min="1797" max="1797" width="15.6640625" style="276" customWidth="1"/>
    <col min="1798" max="1799" width="12.6640625" style="276" customWidth="1"/>
    <col min="1800" max="1800" width="17.6640625" style="276" customWidth="1"/>
    <col min="1801" max="1802" width="15.6640625" style="276" customWidth="1"/>
    <col min="1803" max="1805" width="18.6640625" style="276" customWidth="1"/>
    <col min="1806" max="1813" width="15.88671875" style="276" customWidth="1"/>
    <col min="1814" max="2048" width="9.109375" style="276"/>
    <col min="2049" max="2049" width="26.6640625" style="276" customWidth="1"/>
    <col min="2050" max="2051" width="18.6640625" style="276" customWidth="1"/>
    <col min="2052" max="2052" width="27.6640625" style="276" customWidth="1"/>
    <col min="2053" max="2053" width="15.6640625" style="276" customWidth="1"/>
    <col min="2054" max="2055" width="12.6640625" style="276" customWidth="1"/>
    <col min="2056" max="2056" width="17.6640625" style="276" customWidth="1"/>
    <col min="2057" max="2058" width="15.6640625" style="276" customWidth="1"/>
    <col min="2059" max="2061" width="18.6640625" style="276" customWidth="1"/>
    <col min="2062" max="2069" width="15.88671875" style="276" customWidth="1"/>
    <col min="2070" max="2304" width="9.109375" style="276"/>
    <col min="2305" max="2305" width="26.6640625" style="276" customWidth="1"/>
    <col min="2306" max="2307" width="18.6640625" style="276" customWidth="1"/>
    <col min="2308" max="2308" width="27.6640625" style="276" customWidth="1"/>
    <col min="2309" max="2309" width="15.6640625" style="276" customWidth="1"/>
    <col min="2310" max="2311" width="12.6640625" style="276" customWidth="1"/>
    <col min="2312" max="2312" width="17.6640625" style="276" customWidth="1"/>
    <col min="2313" max="2314" width="15.6640625" style="276" customWidth="1"/>
    <col min="2315" max="2317" width="18.6640625" style="276" customWidth="1"/>
    <col min="2318" max="2325" width="15.88671875" style="276" customWidth="1"/>
    <col min="2326" max="2560" width="9.109375" style="276"/>
    <col min="2561" max="2561" width="26.6640625" style="276" customWidth="1"/>
    <col min="2562" max="2563" width="18.6640625" style="276" customWidth="1"/>
    <col min="2564" max="2564" width="27.6640625" style="276" customWidth="1"/>
    <col min="2565" max="2565" width="15.6640625" style="276" customWidth="1"/>
    <col min="2566" max="2567" width="12.6640625" style="276" customWidth="1"/>
    <col min="2568" max="2568" width="17.6640625" style="276" customWidth="1"/>
    <col min="2569" max="2570" width="15.6640625" style="276" customWidth="1"/>
    <col min="2571" max="2573" width="18.6640625" style="276" customWidth="1"/>
    <col min="2574" max="2581" width="15.88671875" style="276" customWidth="1"/>
    <col min="2582" max="2816" width="9.109375" style="276"/>
    <col min="2817" max="2817" width="26.6640625" style="276" customWidth="1"/>
    <col min="2818" max="2819" width="18.6640625" style="276" customWidth="1"/>
    <col min="2820" max="2820" width="27.6640625" style="276" customWidth="1"/>
    <col min="2821" max="2821" width="15.6640625" style="276" customWidth="1"/>
    <col min="2822" max="2823" width="12.6640625" style="276" customWidth="1"/>
    <col min="2824" max="2824" width="17.6640625" style="276" customWidth="1"/>
    <col min="2825" max="2826" width="15.6640625" style="276" customWidth="1"/>
    <col min="2827" max="2829" width="18.6640625" style="276" customWidth="1"/>
    <col min="2830" max="2837" width="15.88671875" style="276" customWidth="1"/>
    <col min="2838" max="3072" width="9.109375" style="276"/>
    <col min="3073" max="3073" width="26.6640625" style="276" customWidth="1"/>
    <col min="3074" max="3075" width="18.6640625" style="276" customWidth="1"/>
    <col min="3076" max="3076" width="27.6640625" style="276" customWidth="1"/>
    <col min="3077" max="3077" width="15.6640625" style="276" customWidth="1"/>
    <col min="3078" max="3079" width="12.6640625" style="276" customWidth="1"/>
    <col min="3080" max="3080" width="17.6640625" style="276" customWidth="1"/>
    <col min="3081" max="3082" width="15.6640625" style="276" customWidth="1"/>
    <col min="3083" max="3085" width="18.6640625" style="276" customWidth="1"/>
    <col min="3086" max="3093" width="15.88671875" style="276" customWidth="1"/>
    <col min="3094" max="3328" width="9.109375" style="276"/>
    <col min="3329" max="3329" width="26.6640625" style="276" customWidth="1"/>
    <col min="3330" max="3331" width="18.6640625" style="276" customWidth="1"/>
    <col min="3332" max="3332" width="27.6640625" style="276" customWidth="1"/>
    <col min="3333" max="3333" width="15.6640625" style="276" customWidth="1"/>
    <col min="3334" max="3335" width="12.6640625" style="276" customWidth="1"/>
    <col min="3336" max="3336" width="17.6640625" style="276" customWidth="1"/>
    <col min="3337" max="3338" width="15.6640625" style="276" customWidth="1"/>
    <col min="3339" max="3341" width="18.6640625" style="276" customWidth="1"/>
    <col min="3342" max="3349" width="15.88671875" style="276" customWidth="1"/>
    <col min="3350" max="3584" width="9.109375" style="276"/>
    <col min="3585" max="3585" width="26.6640625" style="276" customWidth="1"/>
    <col min="3586" max="3587" width="18.6640625" style="276" customWidth="1"/>
    <col min="3588" max="3588" width="27.6640625" style="276" customWidth="1"/>
    <col min="3589" max="3589" width="15.6640625" style="276" customWidth="1"/>
    <col min="3590" max="3591" width="12.6640625" style="276" customWidth="1"/>
    <col min="3592" max="3592" width="17.6640625" style="276" customWidth="1"/>
    <col min="3593" max="3594" width="15.6640625" style="276" customWidth="1"/>
    <col min="3595" max="3597" width="18.6640625" style="276" customWidth="1"/>
    <col min="3598" max="3605" width="15.88671875" style="276" customWidth="1"/>
    <col min="3606" max="3840" width="9.109375" style="276"/>
    <col min="3841" max="3841" width="26.6640625" style="276" customWidth="1"/>
    <col min="3842" max="3843" width="18.6640625" style="276" customWidth="1"/>
    <col min="3844" max="3844" width="27.6640625" style="276" customWidth="1"/>
    <col min="3845" max="3845" width="15.6640625" style="276" customWidth="1"/>
    <col min="3846" max="3847" width="12.6640625" style="276" customWidth="1"/>
    <col min="3848" max="3848" width="17.6640625" style="276" customWidth="1"/>
    <col min="3849" max="3850" width="15.6640625" style="276" customWidth="1"/>
    <col min="3851" max="3853" width="18.6640625" style="276" customWidth="1"/>
    <col min="3854" max="3861" width="15.88671875" style="276" customWidth="1"/>
    <col min="3862" max="4096" width="9.109375" style="276"/>
    <col min="4097" max="4097" width="26.6640625" style="276" customWidth="1"/>
    <col min="4098" max="4099" width="18.6640625" style="276" customWidth="1"/>
    <col min="4100" max="4100" width="27.6640625" style="276" customWidth="1"/>
    <col min="4101" max="4101" width="15.6640625" style="276" customWidth="1"/>
    <col min="4102" max="4103" width="12.6640625" style="276" customWidth="1"/>
    <col min="4104" max="4104" width="17.6640625" style="276" customWidth="1"/>
    <col min="4105" max="4106" width="15.6640625" style="276" customWidth="1"/>
    <col min="4107" max="4109" width="18.6640625" style="276" customWidth="1"/>
    <col min="4110" max="4117" width="15.88671875" style="276" customWidth="1"/>
    <col min="4118" max="4352" width="9.109375" style="276"/>
    <col min="4353" max="4353" width="26.6640625" style="276" customWidth="1"/>
    <col min="4354" max="4355" width="18.6640625" style="276" customWidth="1"/>
    <col min="4356" max="4356" width="27.6640625" style="276" customWidth="1"/>
    <col min="4357" max="4357" width="15.6640625" style="276" customWidth="1"/>
    <col min="4358" max="4359" width="12.6640625" style="276" customWidth="1"/>
    <col min="4360" max="4360" width="17.6640625" style="276" customWidth="1"/>
    <col min="4361" max="4362" width="15.6640625" style="276" customWidth="1"/>
    <col min="4363" max="4365" width="18.6640625" style="276" customWidth="1"/>
    <col min="4366" max="4373" width="15.88671875" style="276" customWidth="1"/>
    <col min="4374" max="4608" width="9.109375" style="276"/>
    <col min="4609" max="4609" width="26.6640625" style="276" customWidth="1"/>
    <col min="4610" max="4611" width="18.6640625" style="276" customWidth="1"/>
    <col min="4612" max="4612" width="27.6640625" style="276" customWidth="1"/>
    <col min="4613" max="4613" width="15.6640625" style="276" customWidth="1"/>
    <col min="4614" max="4615" width="12.6640625" style="276" customWidth="1"/>
    <col min="4616" max="4616" width="17.6640625" style="276" customWidth="1"/>
    <col min="4617" max="4618" width="15.6640625" style="276" customWidth="1"/>
    <col min="4619" max="4621" width="18.6640625" style="276" customWidth="1"/>
    <col min="4622" max="4629" width="15.88671875" style="276" customWidth="1"/>
    <col min="4630" max="4864" width="9.109375" style="276"/>
    <col min="4865" max="4865" width="26.6640625" style="276" customWidth="1"/>
    <col min="4866" max="4867" width="18.6640625" style="276" customWidth="1"/>
    <col min="4868" max="4868" width="27.6640625" style="276" customWidth="1"/>
    <col min="4869" max="4869" width="15.6640625" style="276" customWidth="1"/>
    <col min="4870" max="4871" width="12.6640625" style="276" customWidth="1"/>
    <col min="4872" max="4872" width="17.6640625" style="276" customWidth="1"/>
    <col min="4873" max="4874" width="15.6640625" style="276" customWidth="1"/>
    <col min="4875" max="4877" width="18.6640625" style="276" customWidth="1"/>
    <col min="4878" max="4885" width="15.88671875" style="276" customWidth="1"/>
    <col min="4886" max="5120" width="9.109375" style="276"/>
    <col min="5121" max="5121" width="26.6640625" style="276" customWidth="1"/>
    <col min="5122" max="5123" width="18.6640625" style="276" customWidth="1"/>
    <col min="5124" max="5124" width="27.6640625" style="276" customWidth="1"/>
    <col min="5125" max="5125" width="15.6640625" style="276" customWidth="1"/>
    <col min="5126" max="5127" width="12.6640625" style="276" customWidth="1"/>
    <col min="5128" max="5128" width="17.6640625" style="276" customWidth="1"/>
    <col min="5129" max="5130" width="15.6640625" style="276" customWidth="1"/>
    <col min="5131" max="5133" width="18.6640625" style="276" customWidth="1"/>
    <col min="5134" max="5141" width="15.88671875" style="276" customWidth="1"/>
    <col min="5142" max="5376" width="9.109375" style="276"/>
    <col min="5377" max="5377" width="26.6640625" style="276" customWidth="1"/>
    <col min="5378" max="5379" width="18.6640625" style="276" customWidth="1"/>
    <col min="5380" max="5380" width="27.6640625" style="276" customWidth="1"/>
    <col min="5381" max="5381" width="15.6640625" style="276" customWidth="1"/>
    <col min="5382" max="5383" width="12.6640625" style="276" customWidth="1"/>
    <col min="5384" max="5384" width="17.6640625" style="276" customWidth="1"/>
    <col min="5385" max="5386" width="15.6640625" style="276" customWidth="1"/>
    <col min="5387" max="5389" width="18.6640625" style="276" customWidth="1"/>
    <col min="5390" max="5397" width="15.88671875" style="276" customWidth="1"/>
    <col min="5398" max="5632" width="9.109375" style="276"/>
    <col min="5633" max="5633" width="26.6640625" style="276" customWidth="1"/>
    <col min="5634" max="5635" width="18.6640625" style="276" customWidth="1"/>
    <col min="5636" max="5636" width="27.6640625" style="276" customWidth="1"/>
    <col min="5637" max="5637" width="15.6640625" style="276" customWidth="1"/>
    <col min="5638" max="5639" width="12.6640625" style="276" customWidth="1"/>
    <col min="5640" max="5640" width="17.6640625" style="276" customWidth="1"/>
    <col min="5641" max="5642" width="15.6640625" style="276" customWidth="1"/>
    <col min="5643" max="5645" width="18.6640625" style="276" customWidth="1"/>
    <col min="5646" max="5653" width="15.88671875" style="276" customWidth="1"/>
    <col min="5654" max="5888" width="9.109375" style="276"/>
    <col min="5889" max="5889" width="26.6640625" style="276" customWidth="1"/>
    <col min="5890" max="5891" width="18.6640625" style="276" customWidth="1"/>
    <col min="5892" max="5892" width="27.6640625" style="276" customWidth="1"/>
    <col min="5893" max="5893" width="15.6640625" style="276" customWidth="1"/>
    <col min="5894" max="5895" width="12.6640625" style="276" customWidth="1"/>
    <col min="5896" max="5896" width="17.6640625" style="276" customWidth="1"/>
    <col min="5897" max="5898" width="15.6640625" style="276" customWidth="1"/>
    <col min="5899" max="5901" width="18.6640625" style="276" customWidth="1"/>
    <col min="5902" max="5909" width="15.88671875" style="276" customWidth="1"/>
    <col min="5910" max="6144" width="9.109375" style="276"/>
    <col min="6145" max="6145" width="26.6640625" style="276" customWidth="1"/>
    <col min="6146" max="6147" width="18.6640625" style="276" customWidth="1"/>
    <col min="6148" max="6148" width="27.6640625" style="276" customWidth="1"/>
    <col min="6149" max="6149" width="15.6640625" style="276" customWidth="1"/>
    <col min="6150" max="6151" width="12.6640625" style="276" customWidth="1"/>
    <col min="6152" max="6152" width="17.6640625" style="276" customWidth="1"/>
    <col min="6153" max="6154" width="15.6640625" style="276" customWidth="1"/>
    <col min="6155" max="6157" width="18.6640625" style="276" customWidth="1"/>
    <col min="6158" max="6165" width="15.88671875" style="276" customWidth="1"/>
    <col min="6166" max="6400" width="9.109375" style="276"/>
    <col min="6401" max="6401" width="26.6640625" style="276" customWidth="1"/>
    <col min="6402" max="6403" width="18.6640625" style="276" customWidth="1"/>
    <col min="6404" max="6404" width="27.6640625" style="276" customWidth="1"/>
    <col min="6405" max="6405" width="15.6640625" style="276" customWidth="1"/>
    <col min="6406" max="6407" width="12.6640625" style="276" customWidth="1"/>
    <col min="6408" max="6408" width="17.6640625" style="276" customWidth="1"/>
    <col min="6409" max="6410" width="15.6640625" style="276" customWidth="1"/>
    <col min="6411" max="6413" width="18.6640625" style="276" customWidth="1"/>
    <col min="6414" max="6421" width="15.88671875" style="276" customWidth="1"/>
    <col min="6422" max="6656" width="9.109375" style="276"/>
    <col min="6657" max="6657" width="26.6640625" style="276" customWidth="1"/>
    <col min="6658" max="6659" width="18.6640625" style="276" customWidth="1"/>
    <col min="6660" max="6660" width="27.6640625" style="276" customWidth="1"/>
    <col min="6661" max="6661" width="15.6640625" style="276" customWidth="1"/>
    <col min="6662" max="6663" width="12.6640625" style="276" customWidth="1"/>
    <col min="6664" max="6664" width="17.6640625" style="276" customWidth="1"/>
    <col min="6665" max="6666" width="15.6640625" style="276" customWidth="1"/>
    <col min="6667" max="6669" width="18.6640625" style="276" customWidth="1"/>
    <col min="6670" max="6677" width="15.88671875" style="276" customWidth="1"/>
    <col min="6678" max="6912" width="9.109375" style="276"/>
    <col min="6913" max="6913" width="26.6640625" style="276" customWidth="1"/>
    <col min="6914" max="6915" width="18.6640625" style="276" customWidth="1"/>
    <col min="6916" max="6916" width="27.6640625" style="276" customWidth="1"/>
    <col min="6917" max="6917" width="15.6640625" style="276" customWidth="1"/>
    <col min="6918" max="6919" width="12.6640625" style="276" customWidth="1"/>
    <col min="6920" max="6920" width="17.6640625" style="276" customWidth="1"/>
    <col min="6921" max="6922" width="15.6640625" style="276" customWidth="1"/>
    <col min="6923" max="6925" width="18.6640625" style="276" customWidth="1"/>
    <col min="6926" max="6933" width="15.88671875" style="276" customWidth="1"/>
    <col min="6934" max="7168" width="9.109375" style="276"/>
    <col min="7169" max="7169" width="26.6640625" style="276" customWidth="1"/>
    <col min="7170" max="7171" width="18.6640625" style="276" customWidth="1"/>
    <col min="7172" max="7172" width="27.6640625" style="276" customWidth="1"/>
    <col min="7173" max="7173" width="15.6640625" style="276" customWidth="1"/>
    <col min="7174" max="7175" width="12.6640625" style="276" customWidth="1"/>
    <col min="7176" max="7176" width="17.6640625" style="276" customWidth="1"/>
    <col min="7177" max="7178" width="15.6640625" style="276" customWidth="1"/>
    <col min="7179" max="7181" width="18.6640625" style="276" customWidth="1"/>
    <col min="7182" max="7189" width="15.88671875" style="276" customWidth="1"/>
    <col min="7190" max="7424" width="9.109375" style="276"/>
    <col min="7425" max="7425" width="26.6640625" style="276" customWidth="1"/>
    <col min="7426" max="7427" width="18.6640625" style="276" customWidth="1"/>
    <col min="7428" max="7428" width="27.6640625" style="276" customWidth="1"/>
    <col min="7429" max="7429" width="15.6640625" style="276" customWidth="1"/>
    <col min="7430" max="7431" width="12.6640625" style="276" customWidth="1"/>
    <col min="7432" max="7432" width="17.6640625" style="276" customWidth="1"/>
    <col min="7433" max="7434" width="15.6640625" style="276" customWidth="1"/>
    <col min="7435" max="7437" width="18.6640625" style="276" customWidth="1"/>
    <col min="7438" max="7445" width="15.88671875" style="276" customWidth="1"/>
    <col min="7446" max="7680" width="9.109375" style="276"/>
    <col min="7681" max="7681" width="26.6640625" style="276" customWidth="1"/>
    <col min="7682" max="7683" width="18.6640625" style="276" customWidth="1"/>
    <col min="7684" max="7684" width="27.6640625" style="276" customWidth="1"/>
    <col min="7685" max="7685" width="15.6640625" style="276" customWidth="1"/>
    <col min="7686" max="7687" width="12.6640625" style="276" customWidth="1"/>
    <col min="7688" max="7688" width="17.6640625" style="276" customWidth="1"/>
    <col min="7689" max="7690" width="15.6640625" style="276" customWidth="1"/>
    <col min="7691" max="7693" width="18.6640625" style="276" customWidth="1"/>
    <col min="7694" max="7701" width="15.88671875" style="276" customWidth="1"/>
    <col min="7702" max="7936" width="9.109375" style="276"/>
    <col min="7937" max="7937" width="26.6640625" style="276" customWidth="1"/>
    <col min="7938" max="7939" width="18.6640625" style="276" customWidth="1"/>
    <col min="7940" max="7940" width="27.6640625" style="276" customWidth="1"/>
    <col min="7941" max="7941" width="15.6640625" style="276" customWidth="1"/>
    <col min="7942" max="7943" width="12.6640625" style="276" customWidth="1"/>
    <col min="7944" max="7944" width="17.6640625" style="276" customWidth="1"/>
    <col min="7945" max="7946" width="15.6640625" style="276" customWidth="1"/>
    <col min="7947" max="7949" width="18.6640625" style="276" customWidth="1"/>
    <col min="7950" max="7957" width="15.88671875" style="276" customWidth="1"/>
    <col min="7958" max="8192" width="9.109375" style="276"/>
    <col min="8193" max="8193" width="26.6640625" style="276" customWidth="1"/>
    <col min="8194" max="8195" width="18.6640625" style="276" customWidth="1"/>
    <col min="8196" max="8196" width="27.6640625" style="276" customWidth="1"/>
    <col min="8197" max="8197" width="15.6640625" style="276" customWidth="1"/>
    <col min="8198" max="8199" width="12.6640625" style="276" customWidth="1"/>
    <col min="8200" max="8200" width="17.6640625" style="276" customWidth="1"/>
    <col min="8201" max="8202" width="15.6640625" style="276" customWidth="1"/>
    <col min="8203" max="8205" width="18.6640625" style="276" customWidth="1"/>
    <col min="8206" max="8213" width="15.88671875" style="276" customWidth="1"/>
    <col min="8214" max="8448" width="9.109375" style="276"/>
    <col min="8449" max="8449" width="26.6640625" style="276" customWidth="1"/>
    <col min="8450" max="8451" width="18.6640625" style="276" customWidth="1"/>
    <col min="8452" max="8452" width="27.6640625" style="276" customWidth="1"/>
    <col min="8453" max="8453" width="15.6640625" style="276" customWidth="1"/>
    <col min="8454" max="8455" width="12.6640625" style="276" customWidth="1"/>
    <col min="8456" max="8456" width="17.6640625" style="276" customWidth="1"/>
    <col min="8457" max="8458" width="15.6640625" style="276" customWidth="1"/>
    <col min="8459" max="8461" width="18.6640625" style="276" customWidth="1"/>
    <col min="8462" max="8469" width="15.88671875" style="276" customWidth="1"/>
    <col min="8470" max="8704" width="9.109375" style="276"/>
    <col min="8705" max="8705" width="26.6640625" style="276" customWidth="1"/>
    <col min="8706" max="8707" width="18.6640625" style="276" customWidth="1"/>
    <col min="8708" max="8708" width="27.6640625" style="276" customWidth="1"/>
    <col min="8709" max="8709" width="15.6640625" style="276" customWidth="1"/>
    <col min="8710" max="8711" width="12.6640625" style="276" customWidth="1"/>
    <col min="8712" max="8712" width="17.6640625" style="276" customWidth="1"/>
    <col min="8713" max="8714" width="15.6640625" style="276" customWidth="1"/>
    <col min="8715" max="8717" width="18.6640625" style="276" customWidth="1"/>
    <col min="8718" max="8725" width="15.88671875" style="276" customWidth="1"/>
    <col min="8726" max="8960" width="9.109375" style="276"/>
    <col min="8961" max="8961" width="26.6640625" style="276" customWidth="1"/>
    <col min="8962" max="8963" width="18.6640625" style="276" customWidth="1"/>
    <col min="8964" max="8964" width="27.6640625" style="276" customWidth="1"/>
    <col min="8965" max="8965" width="15.6640625" style="276" customWidth="1"/>
    <col min="8966" max="8967" width="12.6640625" style="276" customWidth="1"/>
    <col min="8968" max="8968" width="17.6640625" style="276" customWidth="1"/>
    <col min="8969" max="8970" width="15.6640625" style="276" customWidth="1"/>
    <col min="8971" max="8973" width="18.6640625" style="276" customWidth="1"/>
    <col min="8974" max="8981" width="15.88671875" style="276" customWidth="1"/>
    <col min="8982" max="9216" width="9.109375" style="276"/>
    <col min="9217" max="9217" width="26.6640625" style="276" customWidth="1"/>
    <col min="9218" max="9219" width="18.6640625" style="276" customWidth="1"/>
    <col min="9220" max="9220" width="27.6640625" style="276" customWidth="1"/>
    <col min="9221" max="9221" width="15.6640625" style="276" customWidth="1"/>
    <col min="9222" max="9223" width="12.6640625" style="276" customWidth="1"/>
    <col min="9224" max="9224" width="17.6640625" style="276" customWidth="1"/>
    <col min="9225" max="9226" width="15.6640625" style="276" customWidth="1"/>
    <col min="9227" max="9229" width="18.6640625" style="276" customWidth="1"/>
    <col min="9230" max="9237" width="15.88671875" style="276" customWidth="1"/>
    <col min="9238" max="9472" width="9.109375" style="276"/>
    <col min="9473" max="9473" width="26.6640625" style="276" customWidth="1"/>
    <col min="9474" max="9475" width="18.6640625" style="276" customWidth="1"/>
    <col min="9476" max="9476" width="27.6640625" style="276" customWidth="1"/>
    <col min="9477" max="9477" width="15.6640625" style="276" customWidth="1"/>
    <col min="9478" max="9479" width="12.6640625" style="276" customWidth="1"/>
    <col min="9480" max="9480" width="17.6640625" style="276" customWidth="1"/>
    <col min="9481" max="9482" width="15.6640625" style="276" customWidth="1"/>
    <col min="9483" max="9485" width="18.6640625" style="276" customWidth="1"/>
    <col min="9486" max="9493" width="15.88671875" style="276" customWidth="1"/>
    <col min="9494" max="9728" width="9.109375" style="276"/>
    <col min="9729" max="9729" width="26.6640625" style="276" customWidth="1"/>
    <col min="9730" max="9731" width="18.6640625" style="276" customWidth="1"/>
    <col min="9732" max="9732" width="27.6640625" style="276" customWidth="1"/>
    <col min="9733" max="9733" width="15.6640625" style="276" customWidth="1"/>
    <col min="9734" max="9735" width="12.6640625" style="276" customWidth="1"/>
    <col min="9736" max="9736" width="17.6640625" style="276" customWidth="1"/>
    <col min="9737" max="9738" width="15.6640625" style="276" customWidth="1"/>
    <col min="9739" max="9741" width="18.6640625" style="276" customWidth="1"/>
    <col min="9742" max="9749" width="15.88671875" style="276" customWidth="1"/>
    <col min="9750" max="9984" width="9.109375" style="276"/>
    <col min="9985" max="9985" width="26.6640625" style="276" customWidth="1"/>
    <col min="9986" max="9987" width="18.6640625" style="276" customWidth="1"/>
    <col min="9988" max="9988" width="27.6640625" style="276" customWidth="1"/>
    <col min="9989" max="9989" width="15.6640625" style="276" customWidth="1"/>
    <col min="9990" max="9991" width="12.6640625" style="276" customWidth="1"/>
    <col min="9992" max="9992" width="17.6640625" style="276" customWidth="1"/>
    <col min="9993" max="9994" width="15.6640625" style="276" customWidth="1"/>
    <col min="9995" max="9997" width="18.6640625" style="276" customWidth="1"/>
    <col min="9998" max="10005" width="15.88671875" style="276" customWidth="1"/>
    <col min="10006" max="10240" width="9.109375" style="276"/>
    <col min="10241" max="10241" width="26.6640625" style="276" customWidth="1"/>
    <col min="10242" max="10243" width="18.6640625" style="276" customWidth="1"/>
    <col min="10244" max="10244" width="27.6640625" style="276" customWidth="1"/>
    <col min="10245" max="10245" width="15.6640625" style="276" customWidth="1"/>
    <col min="10246" max="10247" width="12.6640625" style="276" customWidth="1"/>
    <col min="10248" max="10248" width="17.6640625" style="276" customWidth="1"/>
    <col min="10249" max="10250" width="15.6640625" style="276" customWidth="1"/>
    <col min="10251" max="10253" width="18.6640625" style="276" customWidth="1"/>
    <col min="10254" max="10261" width="15.88671875" style="276" customWidth="1"/>
    <col min="10262" max="10496" width="9.109375" style="276"/>
    <col min="10497" max="10497" width="26.6640625" style="276" customWidth="1"/>
    <col min="10498" max="10499" width="18.6640625" style="276" customWidth="1"/>
    <col min="10500" max="10500" width="27.6640625" style="276" customWidth="1"/>
    <col min="10501" max="10501" width="15.6640625" style="276" customWidth="1"/>
    <col min="10502" max="10503" width="12.6640625" style="276" customWidth="1"/>
    <col min="10504" max="10504" width="17.6640625" style="276" customWidth="1"/>
    <col min="10505" max="10506" width="15.6640625" style="276" customWidth="1"/>
    <col min="10507" max="10509" width="18.6640625" style="276" customWidth="1"/>
    <col min="10510" max="10517" width="15.88671875" style="276" customWidth="1"/>
    <col min="10518" max="10752" width="9.109375" style="276"/>
    <col min="10753" max="10753" width="26.6640625" style="276" customWidth="1"/>
    <col min="10754" max="10755" width="18.6640625" style="276" customWidth="1"/>
    <col min="10756" max="10756" width="27.6640625" style="276" customWidth="1"/>
    <col min="10757" max="10757" width="15.6640625" style="276" customWidth="1"/>
    <col min="10758" max="10759" width="12.6640625" style="276" customWidth="1"/>
    <col min="10760" max="10760" width="17.6640625" style="276" customWidth="1"/>
    <col min="10761" max="10762" width="15.6640625" style="276" customWidth="1"/>
    <col min="10763" max="10765" width="18.6640625" style="276" customWidth="1"/>
    <col min="10766" max="10773" width="15.88671875" style="276" customWidth="1"/>
    <col min="10774" max="11008" width="9.109375" style="276"/>
    <col min="11009" max="11009" width="26.6640625" style="276" customWidth="1"/>
    <col min="11010" max="11011" width="18.6640625" style="276" customWidth="1"/>
    <col min="11012" max="11012" width="27.6640625" style="276" customWidth="1"/>
    <col min="11013" max="11013" width="15.6640625" style="276" customWidth="1"/>
    <col min="11014" max="11015" width="12.6640625" style="276" customWidth="1"/>
    <col min="11016" max="11016" width="17.6640625" style="276" customWidth="1"/>
    <col min="11017" max="11018" width="15.6640625" style="276" customWidth="1"/>
    <col min="11019" max="11021" width="18.6640625" style="276" customWidth="1"/>
    <col min="11022" max="11029" width="15.88671875" style="276" customWidth="1"/>
    <col min="11030" max="11264" width="9.109375" style="276"/>
    <col min="11265" max="11265" width="26.6640625" style="276" customWidth="1"/>
    <col min="11266" max="11267" width="18.6640625" style="276" customWidth="1"/>
    <col min="11268" max="11268" width="27.6640625" style="276" customWidth="1"/>
    <col min="11269" max="11269" width="15.6640625" style="276" customWidth="1"/>
    <col min="11270" max="11271" width="12.6640625" style="276" customWidth="1"/>
    <col min="11272" max="11272" width="17.6640625" style="276" customWidth="1"/>
    <col min="11273" max="11274" width="15.6640625" style="276" customWidth="1"/>
    <col min="11275" max="11277" width="18.6640625" style="276" customWidth="1"/>
    <col min="11278" max="11285" width="15.88671875" style="276" customWidth="1"/>
    <col min="11286" max="11520" width="9.109375" style="276"/>
    <col min="11521" max="11521" width="26.6640625" style="276" customWidth="1"/>
    <col min="11522" max="11523" width="18.6640625" style="276" customWidth="1"/>
    <col min="11524" max="11524" width="27.6640625" style="276" customWidth="1"/>
    <col min="11525" max="11525" width="15.6640625" style="276" customWidth="1"/>
    <col min="11526" max="11527" width="12.6640625" style="276" customWidth="1"/>
    <col min="11528" max="11528" width="17.6640625" style="276" customWidth="1"/>
    <col min="11529" max="11530" width="15.6640625" style="276" customWidth="1"/>
    <col min="11531" max="11533" width="18.6640625" style="276" customWidth="1"/>
    <col min="11534" max="11541" width="15.88671875" style="276" customWidth="1"/>
    <col min="11542" max="11776" width="9.109375" style="276"/>
    <col min="11777" max="11777" width="26.6640625" style="276" customWidth="1"/>
    <col min="11778" max="11779" width="18.6640625" style="276" customWidth="1"/>
    <col min="11780" max="11780" width="27.6640625" style="276" customWidth="1"/>
    <col min="11781" max="11781" width="15.6640625" style="276" customWidth="1"/>
    <col min="11782" max="11783" width="12.6640625" style="276" customWidth="1"/>
    <col min="11784" max="11784" width="17.6640625" style="276" customWidth="1"/>
    <col min="11785" max="11786" width="15.6640625" style="276" customWidth="1"/>
    <col min="11787" max="11789" width="18.6640625" style="276" customWidth="1"/>
    <col min="11790" max="11797" width="15.88671875" style="276" customWidth="1"/>
    <col min="11798" max="12032" width="9.109375" style="276"/>
    <col min="12033" max="12033" width="26.6640625" style="276" customWidth="1"/>
    <col min="12034" max="12035" width="18.6640625" style="276" customWidth="1"/>
    <col min="12036" max="12036" width="27.6640625" style="276" customWidth="1"/>
    <col min="12037" max="12037" width="15.6640625" style="276" customWidth="1"/>
    <col min="12038" max="12039" width="12.6640625" style="276" customWidth="1"/>
    <col min="12040" max="12040" width="17.6640625" style="276" customWidth="1"/>
    <col min="12041" max="12042" width="15.6640625" style="276" customWidth="1"/>
    <col min="12043" max="12045" width="18.6640625" style="276" customWidth="1"/>
    <col min="12046" max="12053" width="15.88671875" style="276" customWidth="1"/>
    <col min="12054" max="12288" width="9.109375" style="276"/>
    <col min="12289" max="12289" width="26.6640625" style="276" customWidth="1"/>
    <col min="12290" max="12291" width="18.6640625" style="276" customWidth="1"/>
    <col min="12292" max="12292" width="27.6640625" style="276" customWidth="1"/>
    <col min="12293" max="12293" width="15.6640625" style="276" customWidth="1"/>
    <col min="12294" max="12295" width="12.6640625" style="276" customWidth="1"/>
    <col min="12296" max="12296" width="17.6640625" style="276" customWidth="1"/>
    <col min="12297" max="12298" width="15.6640625" style="276" customWidth="1"/>
    <col min="12299" max="12301" width="18.6640625" style="276" customWidth="1"/>
    <col min="12302" max="12309" width="15.88671875" style="276" customWidth="1"/>
    <col min="12310" max="12544" width="9.109375" style="276"/>
    <col min="12545" max="12545" width="26.6640625" style="276" customWidth="1"/>
    <col min="12546" max="12547" width="18.6640625" style="276" customWidth="1"/>
    <col min="12548" max="12548" width="27.6640625" style="276" customWidth="1"/>
    <col min="12549" max="12549" width="15.6640625" style="276" customWidth="1"/>
    <col min="12550" max="12551" width="12.6640625" style="276" customWidth="1"/>
    <col min="12552" max="12552" width="17.6640625" style="276" customWidth="1"/>
    <col min="12553" max="12554" width="15.6640625" style="276" customWidth="1"/>
    <col min="12555" max="12557" width="18.6640625" style="276" customWidth="1"/>
    <col min="12558" max="12565" width="15.88671875" style="276" customWidth="1"/>
    <col min="12566" max="12800" width="9.109375" style="276"/>
    <col min="12801" max="12801" width="26.6640625" style="276" customWidth="1"/>
    <col min="12802" max="12803" width="18.6640625" style="276" customWidth="1"/>
    <col min="12804" max="12804" width="27.6640625" style="276" customWidth="1"/>
    <col min="12805" max="12805" width="15.6640625" style="276" customWidth="1"/>
    <col min="12806" max="12807" width="12.6640625" style="276" customWidth="1"/>
    <col min="12808" max="12808" width="17.6640625" style="276" customWidth="1"/>
    <col min="12809" max="12810" width="15.6640625" style="276" customWidth="1"/>
    <col min="12811" max="12813" width="18.6640625" style="276" customWidth="1"/>
    <col min="12814" max="12821" width="15.88671875" style="276" customWidth="1"/>
    <col min="12822" max="13056" width="9.109375" style="276"/>
    <col min="13057" max="13057" width="26.6640625" style="276" customWidth="1"/>
    <col min="13058" max="13059" width="18.6640625" style="276" customWidth="1"/>
    <col min="13060" max="13060" width="27.6640625" style="276" customWidth="1"/>
    <col min="13061" max="13061" width="15.6640625" style="276" customWidth="1"/>
    <col min="13062" max="13063" width="12.6640625" style="276" customWidth="1"/>
    <col min="13064" max="13064" width="17.6640625" style="276" customWidth="1"/>
    <col min="13065" max="13066" width="15.6640625" style="276" customWidth="1"/>
    <col min="13067" max="13069" width="18.6640625" style="276" customWidth="1"/>
    <col min="13070" max="13077" width="15.88671875" style="276" customWidth="1"/>
    <col min="13078" max="13312" width="9.109375" style="276"/>
    <col min="13313" max="13313" width="26.6640625" style="276" customWidth="1"/>
    <col min="13314" max="13315" width="18.6640625" style="276" customWidth="1"/>
    <col min="13316" max="13316" width="27.6640625" style="276" customWidth="1"/>
    <col min="13317" max="13317" width="15.6640625" style="276" customWidth="1"/>
    <col min="13318" max="13319" width="12.6640625" style="276" customWidth="1"/>
    <col min="13320" max="13320" width="17.6640625" style="276" customWidth="1"/>
    <col min="13321" max="13322" width="15.6640625" style="276" customWidth="1"/>
    <col min="13323" max="13325" width="18.6640625" style="276" customWidth="1"/>
    <col min="13326" max="13333" width="15.88671875" style="276" customWidth="1"/>
    <col min="13334" max="13568" width="9.109375" style="276"/>
    <col min="13569" max="13569" width="26.6640625" style="276" customWidth="1"/>
    <col min="13570" max="13571" width="18.6640625" style="276" customWidth="1"/>
    <col min="13572" max="13572" width="27.6640625" style="276" customWidth="1"/>
    <col min="13573" max="13573" width="15.6640625" style="276" customWidth="1"/>
    <col min="13574" max="13575" width="12.6640625" style="276" customWidth="1"/>
    <col min="13576" max="13576" width="17.6640625" style="276" customWidth="1"/>
    <col min="13577" max="13578" width="15.6640625" style="276" customWidth="1"/>
    <col min="13579" max="13581" width="18.6640625" style="276" customWidth="1"/>
    <col min="13582" max="13589" width="15.88671875" style="276" customWidth="1"/>
    <col min="13590" max="13824" width="9.109375" style="276"/>
    <col min="13825" max="13825" width="26.6640625" style="276" customWidth="1"/>
    <col min="13826" max="13827" width="18.6640625" style="276" customWidth="1"/>
    <col min="13828" max="13828" width="27.6640625" style="276" customWidth="1"/>
    <col min="13829" max="13829" width="15.6640625" style="276" customWidth="1"/>
    <col min="13830" max="13831" width="12.6640625" style="276" customWidth="1"/>
    <col min="13832" max="13832" width="17.6640625" style="276" customWidth="1"/>
    <col min="13833" max="13834" width="15.6640625" style="276" customWidth="1"/>
    <col min="13835" max="13837" width="18.6640625" style="276" customWidth="1"/>
    <col min="13838" max="13845" width="15.88671875" style="276" customWidth="1"/>
    <col min="13846" max="14080" width="9.109375" style="276"/>
    <col min="14081" max="14081" width="26.6640625" style="276" customWidth="1"/>
    <col min="14082" max="14083" width="18.6640625" style="276" customWidth="1"/>
    <col min="14084" max="14084" width="27.6640625" style="276" customWidth="1"/>
    <col min="14085" max="14085" width="15.6640625" style="276" customWidth="1"/>
    <col min="14086" max="14087" width="12.6640625" style="276" customWidth="1"/>
    <col min="14088" max="14088" width="17.6640625" style="276" customWidth="1"/>
    <col min="14089" max="14090" width="15.6640625" style="276" customWidth="1"/>
    <col min="14091" max="14093" width="18.6640625" style="276" customWidth="1"/>
    <col min="14094" max="14101" width="15.88671875" style="276" customWidth="1"/>
    <col min="14102" max="14336" width="9.109375" style="276"/>
    <col min="14337" max="14337" width="26.6640625" style="276" customWidth="1"/>
    <col min="14338" max="14339" width="18.6640625" style="276" customWidth="1"/>
    <col min="14340" max="14340" width="27.6640625" style="276" customWidth="1"/>
    <col min="14341" max="14341" width="15.6640625" style="276" customWidth="1"/>
    <col min="14342" max="14343" width="12.6640625" style="276" customWidth="1"/>
    <col min="14344" max="14344" width="17.6640625" style="276" customWidth="1"/>
    <col min="14345" max="14346" width="15.6640625" style="276" customWidth="1"/>
    <col min="14347" max="14349" width="18.6640625" style="276" customWidth="1"/>
    <col min="14350" max="14357" width="15.88671875" style="276" customWidth="1"/>
    <col min="14358" max="14592" width="9.109375" style="276"/>
    <col min="14593" max="14593" width="26.6640625" style="276" customWidth="1"/>
    <col min="14594" max="14595" width="18.6640625" style="276" customWidth="1"/>
    <col min="14596" max="14596" width="27.6640625" style="276" customWidth="1"/>
    <col min="14597" max="14597" width="15.6640625" style="276" customWidth="1"/>
    <col min="14598" max="14599" width="12.6640625" style="276" customWidth="1"/>
    <col min="14600" max="14600" width="17.6640625" style="276" customWidth="1"/>
    <col min="14601" max="14602" width="15.6640625" style="276" customWidth="1"/>
    <col min="14603" max="14605" width="18.6640625" style="276" customWidth="1"/>
    <col min="14606" max="14613" width="15.88671875" style="276" customWidth="1"/>
    <col min="14614" max="14848" width="9.109375" style="276"/>
    <col min="14849" max="14849" width="26.6640625" style="276" customWidth="1"/>
    <col min="14850" max="14851" width="18.6640625" style="276" customWidth="1"/>
    <col min="14852" max="14852" width="27.6640625" style="276" customWidth="1"/>
    <col min="14853" max="14853" width="15.6640625" style="276" customWidth="1"/>
    <col min="14854" max="14855" width="12.6640625" style="276" customWidth="1"/>
    <col min="14856" max="14856" width="17.6640625" style="276" customWidth="1"/>
    <col min="14857" max="14858" width="15.6640625" style="276" customWidth="1"/>
    <col min="14859" max="14861" width="18.6640625" style="276" customWidth="1"/>
    <col min="14862" max="14869" width="15.88671875" style="276" customWidth="1"/>
    <col min="14870" max="15104" width="9.109375" style="276"/>
    <col min="15105" max="15105" width="26.6640625" style="276" customWidth="1"/>
    <col min="15106" max="15107" width="18.6640625" style="276" customWidth="1"/>
    <col min="15108" max="15108" width="27.6640625" style="276" customWidth="1"/>
    <col min="15109" max="15109" width="15.6640625" style="276" customWidth="1"/>
    <col min="15110" max="15111" width="12.6640625" style="276" customWidth="1"/>
    <col min="15112" max="15112" width="17.6640625" style="276" customWidth="1"/>
    <col min="15113" max="15114" width="15.6640625" style="276" customWidth="1"/>
    <col min="15115" max="15117" width="18.6640625" style="276" customWidth="1"/>
    <col min="15118" max="15125" width="15.88671875" style="276" customWidth="1"/>
    <col min="15126" max="15360" width="9.109375" style="276"/>
    <col min="15361" max="15361" width="26.6640625" style="276" customWidth="1"/>
    <col min="15362" max="15363" width="18.6640625" style="276" customWidth="1"/>
    <col min="15364" max="15364" width="27.6640625" style="276" customWidth="1"/>
    <col min="15365" max="15365" width="15.6640625" style="276" customWidth="1"/>
    <col min="15366" max="15367" width="12.6640625" style="276" customWidth="1"/>
    <col min="15368" max="15368" width="17.6640625" style="276" customWidth="1"/>
    <col min="15369" max="15370" width="15.6640625" style="276" customWidth="1"/>
    <col min="15371" max="15373" width="18.6640625" style="276" customWidth="1"/>
    <col min="15374" max="15381" width="15.88671875" style="276" customWidth="1"/>
    <col min="15382" max="15616" width="9.109375" style="276"/>
    <col min="15617" max="15617" width="26.6640625" style="276" customWidth="1"/>
    <col min="15618" max="15619" width="18.6640625" style="276" customWidth="1"/>
    <col min="15620" max="15620" width="27.6640625" style="276" customWidth="1"/>
    <col min="15621" max="15621" width="15.6640625" style="276" customWidth="1"/>
    <col min="15622" max="15623" width="12.6640625" style="276" customWidth="1"/>
    <col min="15624" max="15624" width="17.6640625" style="276" customWidth="1"/>
    <col min="15625" max="15626" width="15.6640625" style="276" customWidth="1"/>
    <col min="15627" max="15629" width="18.6640625" style="276" customWidth="1"/>
    <col min="15630" max="15637" width="15.88671875" style="276" customWidth="1"/>
    <col min="15638" max="15872" width="9.109375" style="276"/>
    <col min="15873" max="15873" width="26.6640625" style="276" customWidth="1"/>
    <col min="15874" max="15875" width="18.6640625" style="276" customWidth="1"/>
    <col min="15876" max="15876" width="27.6640625" style="276" customWidth="1"/>
    <col min="15877" max="15877" width="15.6640625" style="276" customWidth="1"/>
    <col min="15878" max="15879" width="12.6640625" style="276" customWidth="1"/>
    <col min="15880" max="15880" width="17.6640625" style="276" customWidth="1"/>
    <col min="15881" max="15882" width="15.6640625" style="276" customWidth="1"/>
    <col min="15883" max="15885" width="18.6640625" style="276" customWidth="1"/>
    <col min="15886" max="15893" width="15.88671875" style="276" customWidth="1"/>
    <col min="15894" max="16128" width="9.109375" style="276"/>
    <col min="16129" max="16129" width="26.6640625" style="276" customWidth="1"/>
    <col min="16130" max="16131" width="18.6640625" style="276" customWidth="1"/>
    <col min="16132" max="16132" width="27.6640625" style="276" customWidth="1"/>
    <col min="16133" max="16133" width="15.6640625" style="276" customWidth="1"/>
    <col min="16134" max="16135" width="12.6640625" style="276" customWidth="1"/>
    <col min="16136" max="16136" width="17.6640625" style="276" customWidth="1"/>
    <col min="16137" max="16138" width="15.6640625" style="276" customWidth="1"/>
    <col min="16139" max="16141" width="18.6640625" style="276" customWidth="1"/>
    <col min="16142" max="16149" width="15.88671875" style="276" customWidth="1"/>
    <col min="16150" max="16384" width="9.109375" style="276"/>
  </cols>
  <sheetData>
    <row r="1" spans="1:21" ht="17.399999999999999" x14ac:dyDescent="0.3">
      <c r="A1" s="542" t="s">
        <v>60</v>
      </c>
      <c r="B1" s="543"/>
      <c r="C1" s="543"/>
      <c r="D1" s="543"/>
      <c r="E1" s="543"/>
      <c r="F1" s="543"/>
      <c r="G1" s="543"/>
      <c r="H1" s="543"/>
      <c r="I1" s="543"/>
      <c r="J1" s="544"/>
      <c r="K1" s="542" t="s">
        <v>60</v>
      </c>
      <c r="L1" s="543"/>
      <c r="M1" s="543"/>
      <c r="N1" s="543"/>
      <c r="O1" s="543"/>
      <c r="P1" s="543"/>
      <c r="Q1" s="543"/>
      <c r="R1" s="543"/>
      <c r="S1" s="543"/>
      <c r="T1" s="543"/>
      <c r="U1" s="544"/>
    </row>
    <row r="2" spans="1:21" ht="17.399999999999999" x14ac:dyDescent="0.3">
      <c r="A2" s="545" t="s">
        <v>239</v>
      </c>
      <c r="B2" s="546"/>
      <c r="C2" s="546"/>
      <c r="D2" s="546"/>
      <c r="E2" s="546"/>
      <c r="F2" s="546"/>
      <c r="G2" s="546"/>
      <c r="H2" s="546"/>
      <c r="I2" s="546"/>
      <c r="J2" s="547"/>
      <c r="K2" s="545" t="s">
        <v>238</v>
      </c>
      <c r="L2" s="546"/>
      <c r="M2" s="546"/>
      <c r="N2" s="546"/>
      <c r="O2" s="546"/>
      <c r="P2" s="546"/>
      <c r="Q2" s="546"/>
      <c r="R2" s="546"/>
      <c r="S2" s="546"/>
      <c r="T2" s="546"/>
      <c r="U2" s="547"/>
    </row>
    <row r="3" spans="1:21" x14ac:dyDescent="0.3">
      <c r="A3" s="389"/>
      <c r="B3" s="387"/>
      <c r="C3" s="388"/>
      <c r="D3" s="548" t="s">
        <v>247</v>
      </c>
      <c r="E3" s="548"/>
      <c r="F3" s="548"/>
      <c r="G3" s="388"/>
      <c r="H3" s="387"/>
      <c r="I3" s="387"/>
      <c r="J3" s="386"/>
      <c r="K3" s="389"/>
      <c r="L3" s="387"/>
      <c r="M3" s="388"/>
      <c r="N3" s="548" t="s">
        <v>247</v>
      </c>
      <c r="O3" s="548"/>
      <c r="P3" s="548"/>
      <c r="Q3" s="548"/>
      <c r="R3" s="388"/>
      <c r="S3" s="388"/>
      <c r="T3" s="387"/>
      <c r="U3" s="386"/>
    </row>
    <row r="4" spans="1:21" x14ac:dyDescent="0.3">
      <c r="A4" s="385"/>
      <c r="B4" s="384"/>
      <c r="C4" s="384"/>
      <c r="D4" s="384"/>
      <c r="E4" s="384"/>
      <c r="F4" s="522" t="s">
        <v>70</v>
      </c>
      <c r="G4" s="522"/>
      <c r="H4" s="522"/>
      <c r="I4" s="522"/>
      <c r="J4" s="523"/>
      <c r="K4" s="383"/>
      <c r="L4" s="382"/>
      <c r="M4" s="382"/>
      <c r="N4" s="382"/>
      <c r="O4" s="382"/>
      <c r="P4" s="382"/>
      <c r="Q4" s="382"/>
      <c r="R4" s="382"/>
      <c r="S4" s="382"/>
      <c r="T4" s="382"/>
      <c r="U4" s="381"/>
    </row>
    <row r="5" spans="1:21" ht="15" customHeight="1" x14ac:dyDescent="0.3">
      <c r="A5" s="350" t="s">
        <v>71</v>
      </c>
      <c r="B5" s="524" t="s">
        <v>72</v>
      </c>
      <c r="C5" s="525"/>
      <c r="D5" s="354" t="s">
        <v>73</v>
      </c>
      <c r="E5" s="352"/>
      <c r="F5" s="354" t="s">
        <v>74</v>
      </c>
      <c r="G5" s="353"/>
      <c r="H5" s="315" t="s">
        <v>75</v>
      </c>
      <c r="I5" s="305" t="s">
        <v>70</v>
      </c>
      <c r="J5" s="305"/>
      <c r="K5" s="350" t="s">
        <v>71</v>
      </c>
      <c r="L5" s="526" t="s">
        <v>72</v>
      </c>
      <c r="M5" s="527"/>
      <c r="N5" s="354" t="s">
        <v>76</v>
      </c>
      <c r="O5" s="353"/>
      <c r="P5" s="528" t="s">
        <v>236</v>
      </c>
      <c r="Q5" s="529"/>
      <c r="R5" s="529"/>
      <c r="S5" s="529"/>
      <c r="T5" s="529"/>
      <c r="U5" s="530"/>
    </row>
    <row r="6" spans="1:21" x14ac:dyDescent="0.3">
      <c r="A6" s="297" t="s">
        <v>77</v>
      </c>
      <c r="B6" s="537" t="s">
        <v>139</v>
      </c>
      <c r="C6" s="538"/>
      <c r="D6" s="380" t="s">
        <v>79</v>
      </c>
      <c r="E6" s="379">
        <v>0.98448999999999998</v>
      </c>
      <c r="F6" s="366" t="s">
        <v>194</v>
      </c>
      <c r="G6" s="347"/>
      <c r="H6" s="378">
        <v>72.512766847926514</v>
      </c>
      <c r="I6" s="377" t="s">
        <v>70</v>
      </c>
      <c r="J6" s="376"/>
      <c r="K6" s="297" t="s">
        <v>77</v>
      </c>
      <c r="L6" s="539" t="s">
        <v>139</v>
      </c>
      <c r="M6" s="511"/>
      <c r="N6" s="375">
        <v>19919.070631275921</v>
      </c>
      <c r="O6" s="374"/>
      <c r="P6" s="531"/>
      <c r="Q6" s="532"/>
      <c r="R6" s="532"/>
      <c r="S6" s="532"/>
      <c r="T6" s="532"/>
      <c r="U6" s="533"/>
    </row>
    <row r="7" spans="1:21" x14ac:dyDescent="0.3">
      <c r="A7" s="297" t="s">
        <v>80</v>
      </c>
      <c r="B7" s="510" t="s">
        <v>140</v>
      </c>
      <c r="C7" s="511"/>
      <c r="D7" s="362" t="s">
        <v>82</v>
      </c>
      <c r="E7" s="292">
        <v>396.87270000000001</v>
      </c>
      <c r="F7" s="366" t="s">
        <v>195</v>
      </c>
      <c r="G7" s="347"/>
      <c r="H7" s="365">
        <v>56.969415056174647</v>
      </c>
      <c r="I7" s="373" t="s">
        <v>70</v>
      </c>
      <c r="J7" s="372"/>
      <c r="K7" s="371" t="s">
        <v>80</v>
      </c>
      <c r="L7" s="540" t="s">
        <v>140</v>
      </c>
      <c r="M7" s="541"/>
      <c r="N7" s="354"/>
      <c r="O7" s="353"/>
      <c r="P7" s="534"/>
      <c r="Q7" s="535"/>
      <c r="R7" s="535"/>
      <c r="S7" s="535"/>
      <c r="T7" s="535"/>
      <c r="U7" s="536"/>
    </row>
    <row r="8" spans="1:21" ht="15.6" x14ac:dyDescent="0.3">
      <c r="A8" s="297" t="s">
        <v>83</v>
      </c>
      <c r="B8" s="508" t="s">
        <v>196</v>
      </c>
      <c r="C8" s="509"/>
      <c r="D8" s="362" t="s">
        <v>84</v>
      </c>
      <c r="E8" s="292">
        <v>777.87049200000001</v>
      </c>
      <c r="F8" s="366"/>
      <c r="G8" s="347"/>
      <c r="H8" s="305" t="s">
        <v>85</v>
      </c>
      <c r="I8" s="370" t="s">
        <v>70</v>
      </c>
      <c r="J8" s="305" t="s">
        <v>86</v>
      </c>
      <c r="K8" s="369"/>
      <c r="L8" s="368"/>
      <c r="M8" s="368"/>
      <c r="N8" s="368"/>
      <c r="O8" s="368"/>
      <c r="P8" s="368"/>
      <c r="Q8" s="368"/>
      <c r="R8" s="368"/>
      <c r="S8" s="368"/>
      <c r="T8" s="368"/>
      <c r="U8" s="367"/>
    </row>
    <row r="9" spans="1:21" ht="15.6" x14ac:dyDescent="0.3">
      <c r="A9" s="297" t="s">
        <v>87</v>
      </c>
      <c r="B9" s="508" t="s">
        <v>88</v>
      </c>
      <c r="C9" s="509"/>
      <c r="D9" s="362" t="s">
        <v>89</v>
      </c>
      <c r="E9" s="296">
        <v>19919.070631275921</v>
      </c>
      <c r="F9" s="366" t="s">
        <v>90</v>
      </c>
      <c r="G9" s="347"/>
      <c r="H9" s="365">
        <v>65.239999999999995</v>
      </c>
      <c r="I9" s="364">
        <v>41645</v>
      </c>
      <c r="J9" s="363">
        <v>17430</v>
      </c>
      <c r="K9" s="505" t="s">
        <v>91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</row>
    <row r="10" spans="1:21" x14ac:dyDescent="0.3">
      <c r="A10" s="297" t="s">
        <v>92</v>
      </c>
      <c r="B10" s="510" t="s">
        <v>93</v>
      </c>
      <c r="C10" s="511"/>
      <c r="D10" s="362" t="s">
        <v>94</v>
      </c>
      <c r="E10" s="292">
        <v>0</v>
      </c>
      <c r="F10" s="361" t="s">
        <v>95</v>
      </c>
      <c r="G10" s="360"/>
      <c r="H10" s="359">
        <v>61.96</v>
      </c>
      <c r="I10" s="358">
        <v>42054</v>
      </c>
      <c r="J10" s="357">
        <v>15982</v>
      </c>
      <c r="K10" s="321"/>
      <c r="L10" s="319" t="s">
        <v>96</v>
      </c>
      <c r="M10" s="320"/>
      <c r="N10" s="319" t="s">
        <v>97</v>
      </c>
      <c r="O10" s="320"/>
      <c r="P10" s="319" t="s">
        <v>98</v>
      </c>
      <c r="Q10" s="320"/>
      <c r="R10" s="319" t="s">
        <v>99</v>
      </c>
      <c r="S10" s="320"/>
      <c r="T10" s="319" t="s">
        <v>100</v>
      </c>
      <c r="U10" s="318"/>
    </row>
    <row r="11" spans="1:21" ht="15" customHeight="1" x14ac:dyDescent="0.3">
      <c r="A11" s="512" t="s">
        <v>235</v>
      </c>
      <c r="B11" s="513"/>
      <c r="C11" s="514"/>
      <c r="D11" s="356" t="s">
        <v>101</v>
      </c>
      <c r="E11" s="355">
        <v>19919.070631275921</v>
      </c>
      <c r="F11" s="354" t="s">
        <v>102</v>
      </c>
      <c r="G11" s="353"/>
      <c r="H11" s="315" t="s">
        <v>103</v>
      </c>
      <c r="I11" s="305" t="s">
        <v>104</v>
      </c>
      <c r="J11" s="305" t="s">
        <v>105</v>
      </c>
      <c r="K11" s="316" t="s">
        <v>106</v>
      </c>
      <c r="L11" s="315" t="s">
        <v>107</v>
      </c>
      <c r="M11" s="315" t="s">
        <v>48</v>
      </c>
      <c r="N11" s="315" t="s">
        <v>107</v>
      </c>
      <c r="O11" s="315" t="s">
        <v>48</v>
      </c>
      <c r="P11" s="315" t="s">
        <v>107</v>
      </c>
      <c r="Q11" s="315" t="s">
        <v>48</v>
      </c>
      <c r="R11" s="315" t="s">
        <v>107</v>
      </c>
      <c r="S11" s="315" t="s">
        <v>48</v>
      </c>
      <c r="T11" s="315" t="s">
        <v>107</v>
      </c>
      <c r="U11" s="315" t="s">
        <v>48</v>
      </c>
    </row>
    <row r="12" spans="1:21" x14ac:dyDescent="0.3">
      <c r="A12" s="515"/>
      <c r="B12" s="516"/>
      <c r="C12" s="517"/>
      <c r="D12" s="352" t="s">
        <v>108</v>
      </c>
      <c r="E12" s="351"/>
      <c r="F12" s="350" t="s">
        <v>109</v>
      </c>
      <c r="G12" s="350"/>
      <c r="H12" s="349">
        <v>1212653.4524825681</v>
      </c>
      <c r="I12" s="349">
        <v>7673.0786799929228</v>
      </c>
      <c r="J12" s="349">
        <v>1220326.5311625609</v>
      </c>
      <c r="K12" s="297" t="s">
        <v>62</v>
      </c>
      <c r="L12" s="312">
        <v>932.99999999999966</v>
      </c>
      <c r="M12" s="300">
        <v>257606.64976586623</v>
      </c>
      <c r="N12" s="312">
        <v>1026.2999999999993</v>
      </c>
      <c r="O12" s="300">
        <v>280051.54846554162</v>
      </c>
      <c r="P12" s="312">
        <v>1119.6000000000004</v>
      </c>
      <c r="Q12" s="300">
        <v>302496.44716521708</v>
      </c>
      <c r="R12" s="312">
        <v>839.70000000000016</v>
      </c>
      <c r="S12" s="300">
        <v>235161.75106619077</v>
      </c>
      <c r="T12" s="312">
        <v>746.40000000000032</v>
      </c>
      <c r="U12" s="300">
        <v>212716.85236651517</v>
      </c>
    </row>
    <row r="13" spans="1:21" x14ac:dyDescent="0.3">
      <c r="A13" s="515"/>
      <c r="B13" s="516"/>
      <c r="C13" s="517"/>
      <c r="D13" s="348" t="s">
        <v>110</v>
      </c>
      <c r="E13" s="300">
        <v>20000</v>
      </c>
      <c r="F13" s="347" t="s">
        <v>111</v>
      </c>
      <c r="G13" s="297"/>
      <c r="H13" s="346">
        <v>943279.88420361117</v>
      </c>
      <c r="I13" s="346">
        <v>6019.9119838985389</v>
      </c>
      <c r="J13" s="346">
        <v>949299.79618750967</v>
      </c>
      <c r="K13" s="297" t="s">
        <v>63</v>
      </c>
      <c r="L13" s="296">
        <v>732.00000000000023</v>
      </c>
      <c r="M13" s="292">
        <v>202218.53095302114</v>
      </c>
      <c r="N13" s="296">
        <v>805.20000000000039</v>
      </c>
      <c r="O13" s="292">
        <v>219884.35964563515</v>
      </c>
      <c r="P13" s="296">
        <v>878.4000000000002</v>
      </c>
      <c r="Q13" s="292">
        <v>237550.18833824917</v>
      </c>
      <c r="R13" s="296">
        <v>658.80000000000018</v>
      </c>
      <c r="S13" s="292">
        <v>184552.70226040715</v>
      </c>
      <c r="T13" s="296">
        <v>585.59999999999991</v>
      </c>
      <c r="U13" s="292">
        <v>166886.87356779311</v>
      </c>
    </row>
    <row r="14" spans="1:21" ht="15" customHeight="1" x14ac:dyDescent="0.3">
      <c r="A14" s="515"/>
      <c r="B14" s="516"/>
      <c r="C14" s="517"/>
      <c r="D14" s="345" t="s">
        <v>112</v>
      </c>
      <c r="E14" s="292">
        <v>81</v>
      </c>
      <c r="F14" s="521" t="s">
        <v>248</v>
      </c>
      <c r="G14" s="513"/>
      <c r="H14" s="513"/>
      <c r="I14" s="513"/>
      <c r="J14" s="514"/>
      <c r="K14" s="297" t="s">
        <v>64</v>
      </c>
      <c r="L14" s="296">
        <v>538</v>
      </c>
      <c r="M14" s="292">
        <v>148799.78460592989</v>
      </c>
      <c r="N14" s="296">
        <v>591.79999999999984</v>
      </c>
      <c r="O14" s="292">
        <v>161823.06757774405</v>
      </c>
      <c r="P14" s="296">
        <v>645.59999999999991</v>
      </c>
      <c r="Q14" s="292">
        <v>174846.35054955806</v>
      </c>
      <c r="R14" s="296">
        <v>484.2</v>
      </c>
      <c r="S14" s="292">
        <v>135776.50163411579</v>
      </c>
      <c r="T14" s="296">
        <v>430.39999999999992</v>
      </c>
      <c r="U14" s="292">
        <v>122753.21866230173</v>
      </c>
    </row>
    <row r="15" spans="1:21" x14ac:dyDescent="0.3">
      <c r="A15" s="515"/>
      <c r="B15" s="516"/>
      <c r="C15" s="517"/>
      <c r="D15" s="345" t="s">
        <v>113</v>
      </c>
      <c r="E15" s="344">
        <v>4.0664547809182361E-3</v>
      </c>
      <c r="F15" s="515"/>
      <c r="G15" s="516"/>
      <c r="H15" s="516"/>
      <c r="I15" s="516"/>
      <c r="J15" s="517"/>
      <c r="K15" s="297" t="s">
        <v>34</v>
      </c>
      <c r="L15" s="296">
        <v>246</v>
      </c>
      <c r="M15" s="292">
        <v>76085.363850392183</v>
      </c>
      <c r="N15" s="296">
        <v>270.60000000000014</v>
      </c>
      <c r="O15" s="292">
        <v>82497.497260963748</v>
      </c>
      <c r="P15" s="296">
        <v>295.20000000000005</v>
      </c>
      <c r="Q15" s="292">
        <v>88909.630671535313</v>
      </c>
      <c r="R15" s="296">
        <v>221.40000000000006</v>
      </c>
      <c r="S15" s="292">
        <v>69673.230439820632</v>
      </c>
      <c r="T15" s="296">
        <v>196.79999999999998</v>
      </c>
      <c r="U15" s="292">
        <v>63261.097029249024</v>
      </c>
    </row>
    <row r="16" spans="1:21" x14ac:dyDescent="0.3">
      <c r="A16" s="518"/>
      <c r="B16" s="519"/>
      <c r="C16" s="520"/>
      <c r="D16" s="343"/>
      <c r="E16" s="342"/>
      <c r="F16" s="518"/>
      <c r="G16" s="519"/>
      <c r="H16" s="519"/>
      <c r="I16" s="519"/>
      <c r="J16" s="520"/>
      <c r="K16" s="297" t="s">
        <v>35</v>
      </c>
      <c r="L16" s="296">
        <v>66.999999999999972</v>
      </c>
      <c r="M16" s="292">
        <v>36479.135859812508</v>
      </c>
      <c r="N16" s="296">
        <v>73.699999999999918</v>
      </c>
      <c r="O16" s="292">
        <v>38245.57600687183</v>
      </c>
      <c r="P16" s="296">
        <v>80.400000000000048</v>
      </c>
      <c r="Q16" s="292">
        <v>40012.016153931159</v>
      </c>
      <c r="R16" s="296">
        <v>60.30000000000004</v>
      </c>
      <c r="S16" s="292">
        <v>34712.6957127532</v>
      </c>
      <c r="T16" s="296">
        <v>53.600000000000009</v>
      </c>
      <c r="U16" s="292">
        <v>32946.255565693878</v>
      </c>
    </row>
    <row r="17" spans="1:21" x14ac:dyDescent="0.3">
      <c r="A17" s="341"/>
      <c r="B17" s="338"/>
      <c r="C17" s="338"/>
      <c r="D17" s="338"/>
      <c r="E17" s="340"/>
      <c r="F17" s="339"/>
      <c r="G17" s="338"/>
      <c r="H17" s="338"/>
      <c r="I17" s="338"/>
      <c r="J17" s="337"/>
      <c r="K17" s="297" t="s">
        <v>36</v>
      </c>
      <c r="L17" s="296">
        <v>4.9999999999999956</v>
      </c>
      <c r="M17" s="292">
        <v>24445.087913293308</v>
      </c>
      <c r="N17" s="296">
        <v>5.4999999999999929</v>
      </c>
      <c r="O17" s="292">
        <v>24584.535291704906</v>
      </c>
      <c r="P17" s="296">
        <v>6.0000000000000018</v>
      </c>
      <c r="Q17" s="292">
        <v>24723.982670116518</v>
      </c>
      <c r="R17" s="296">
        <v>4.4999999999999982</v>
      </c>
      <c r="S17" s="292">
        <v>24305.640534881706</v>
      </c>
      <c r="T17" s="296">
        <v>3.9999999999999996</v>
      </c>
      <c r="U17" s="292">
        <v>24166.193156470101</v>
      </c>
    </row>
    <row r="18" spans="1:21" ht="15.6" x14ac:dyDescent="0.3">
      <c r="A18" s="502" t="s">
        <v>114</v>
      </c>
      <c r="B18" s="503"/>
      <c r="C18" s="503"/>
      <c r="D18" s="503"/>
      <c r="E18" s="503"/>
      <c r="F18" s="503"/>
      <c r="G18" s="503"/>
      <c r="H18" s="503"/>
      <c r="I18" s="503"/>
      <c r="J18" s="504"/>
      <c r="K18" s="297" t="s">
        <v>37</v>
      </c>
      <c r="L18" s="296">
        <v>0</v>
      </c>
      <c r="M18" s="292">
        <v>23031.119613363011</v>
      </c>
      <c r="N18" s="296">
        <v>0</v>
      </c>
      <c r="O18" s="292">
        <v>23032.760419808739</v>
      </c>
      <c r="P18" s="296">
        <v>0</v>
      </c>
      <c r="Q18" s="292">
        <v>23034.40122625446</v>
      </c>
      <c r="R18" s="296">
        <v>0</v>
      </c>
      <c r="S18" s="292">
        <v>23029.478806917297</v>
      </c>
      <c r="T18" s="296">
        <v>0</v>
      </c>
      <c r="U18" s="292">
        <v>23027.838000471584</v>
      </c>
    </row>
    <row r="19" spans="1:21" x14ac:dyDescent="0.3">
      <c r="A19" s="305" t="s">
        <v>67</v>
      </c>
      <c r="B19" s="496" t="s">
        <v>115</v>
      </c>
      <c r="C19" s="497"/>
      <c r="D19" s="498"/>
      <c r="E19" s="305" t="s">
        <v>116</v>
      </c>
      <c r="F19" s="496" t="s">
        <v>117</v>
      </c>
      <c r="G19" s="499"/>
      <c r="H19" s="500"/>
      <c r="I19" s="500"/>
      <c r="J19" s="501"/>
      <c r="K19" s="297" t="s">
        <v>38</v>
      </c>
      <c r="L19" s="296">
        <v>0</v>
      </c>
      <c r="M19" s="292">
        <v>23028.021081049101</v>
      </c>
      <c r="N19" s="296">
        <v>0</v>
      </c>
      <c r="O19" s="292">
        <v>23028.021081049141</v>
      </c>
      <c r="P19" s="296">
        <v>0</v>
      </c>
      <c r="Q19" s="292">
        <v>23028.021081049184</v>
      </c>
      <c r="R19" s="296">
        <v>0</v>
      </c>
      <c r="S19" s="292">
        <v>23028.021081049057</v>
      </c>
      <c r="T19" s="296">
        <v>0</v>
      </c>
      <c r="U19" s="292">
        <v>23028.021081049017</v>
      </c>
    </row>
    <row r="20" spans="1:21" x14ac:dyDescent="0.3">
      <c r="A20" s="304" t="s">
        <v>119</v>
      </c>
      <c r="B20" s="303" t="s">
        <v>174</v>
      </c>
      <c r="C20" s="302"/>
      <c r="D20" s="390"/>
      <c r="E20" s="292">
        <v>5000</v>
      </c>
      <c r="F20" s="286" t="s">
        <v>175</v>
      </c>
      <c r="G20" s="286"/>
      <c r="H20" s="286"/>
      <c r="I20" s="286"/>
      <c r="J20" s="285"/>
      <c r="K20" s="297" t="s">
        <v>39</v>
      </c>
      <c r="L20" s="296">
        <v>29.999999999999993</v>
      </c>
      <c r="M20" s="292">
        <v>26896.820301155563</v>
      </c>
      <c r="N20" s="296">
        <v>33</v>
      </c>
      <c r="O20" s="292">
        <v>27630.322903035816</v>
      </c>
      <c r="P20" s="296">
        <v>36.000000000000007</v>
      </c>
      <c r="Q20" s="292">
        <v>28363.82550491608</v>
      </c>
      <c r="R20" s="296">
        <v>27.000000000000007</v>
      </c>
      <c r="S20" s="292">
        <v>26163.317699275292</v>
      </c>
      <c r="T20" s="296">
        <v>24.000000000000004</v>
      </c>
      <c r="U20" s="292">
        <v>25429.815097395032</v>
      </c>
    </row>
    <row r="21" spans="1:21" x14ac:dyDescent="0.3">
      <c r="A21" s="291" t="s">
        <v>119</v>
      </c>
      <c r="B21" s="295" t="s">
        <v>176</v>
      </c>
      <c r="C21" s="294"/>
      <c r="D21" s="317"/>
      <c r="E21" s="292">
        <v>13500</v>
      </c>
      <c r="F21" s="286" t="s">
        <v>170</v>
      </c>
      <c r="G21" s="286"/>
      <c r="H21" s="286"/>
      <c r="I21" s="286"/>
      <c r="J21" s="285"/>
      <c r="K21" s="297" t="s">
        <v>40</v>
      </c>
      <c r="L21" s="296">
        <v>212</v>
      </c>
      <c r="M21" s="292">
        <v>59408.019659891121</v>
      </c>
      <c r="N21" s="296">
        <v>233.20000000000005</v>
      </c>
      <c r="O21" s="292">
        <v>64757.942560573632</v>
      </c>
      <c r="P21" s="296">
        <v>254.40000000000003</v>
      </c>
      <c r="Q21" s="292">
        <v>70107.865461256122</v>
      </c>
      <c r="R21" s="296">
        <v>190.79999999999998</v>
      </c>
      <c r="S21" s="292">
        <v>54058.096759208594</v>
      </c>
      <c r="T21" s="296">
        <v>169.6</v>
      </c>
      <c r="U21" s="292">
        <v>48708.173858526112</v>
      </c>
    </row>
    <row r="22" spans="1:21" x14ac:dyDescent="0.3">
      <c r="A22" s="330" t="s">
        <v>119</v>
      </c>
      <c r="B22" s="329" t="s">
        <v>208</v>
      </c>
      <c r="C22" s="326"/>
      <c r="D22" s="328"/>
      <c r="E22" s="327">
        <v>1500</v>
      </c>
      <c r="F22" s="326" t="s">
        <v>249</v>
      </c>
      <c r="G22" s="326"/>
      <c r="H22" s="326"/>
      <c r="I22" s="326"/>
      <c r="J22" s="325"/>
      <c r="K22" s="297" t="s">
        <v>65</v>
      </c>
      <c r="L22" s="296">
        <v>493.00000000000023</v>
      </c>
      <c r="M22" s="292">
        <v>120934.40409909711</v>
      </c>
      <c r="N22" s="296">
        <v>542.29999999999995</v>
      </c>
      <c r="O22" s="292">
        <v>132698.38562995486</v>
      </c>
      <c r="P22" s="296">
        <v>591.60000000000014</v>
      </c>
      <c r="Q22" s="292">
        <v>144462.36716081257</v>
      </c>
      <c r="R22" s="296">
        <v>443.70000000000016</v>
      </c>
      <c r="S22" s="292">
        <v>109170.42256823939</v>
      </c>
      <c r="T22" s="296">
        <v>394.39999999999986</v>
      </c>
      <c r="U22" s="292">
        <v>97406.441037381679</v>
      </c>
    </row>
    <row r="23" spans="1:21" x14ac:dyDescent="0.3">
      <c r="A23" s="291"/>
      <c r="B23" s="295"/>
      <c r="C23" s="294"/>
      <c r="D23" s="317"/>
      <c r="E23" s="292"/>
      <c r="F23" s="286"/>
      <c r="G23" s="286"/>
      <c r="H23" s="286"/>
      <c r="I23" s="286"/>
      <c r="J23" s="285"/>
      <c r="K23" s="297" t="s">
        <v>66</v>
      </c>
      <c r="L23" s="296">
        <v>840.99999999999943</v>
      </c>
      <c r="M23" s="292">
        <v>213720.51477969688</v>
      </c>
      <c r="N23" s="296">
        <v>925.10000000000025</v>
      </c>
      <c r="O23" s="292">
        <v>233874.90134466439</v>
      </c>
      <c r="P23" s="296">
        <v>1009.1999999999994</v>
      </c>
      <c r="Q23" s="292">
        <v>254029.28790963185</v>
      </c>
      <c r="R23" s="296">
        <v>756.90000000000009</v>
      </c>
      <c r="S23" s="292">
        <v>193566.1282147294</v>
      </c>
      <c r="T23" s="296">
        <v>672.8</v>
      </c>
      <c r="U23" s="292">
        <v>173411.74164976188</v>
      </c>
    </row>
    <row r="24" spans="1:21" x14ac:dyDescent="0.3">
      <c r="A24" s="291"/>
      <c r="B24" s="295"/>
      <c r="C24" s="294"/>
      <c r="D24" s="317"/>
      <c r="E24" s="292"/>
      <c r="F24" s="286"/>
      <c r="G24" s="286"/>
      <c r="H24" s="286"/>
      <c r="I24" s="286"/>
      <c r="J24" s="285"/>
      <c r="K24" s="279" t="s">
        <v>121</v>
      </c>
      <c r="L24" s="278">
        <v>4096.9999999999991</v>
      </c>
      <c r="M24" s="278">
        <v>1212653.4524825681</v>
      </c>
      <c r="N24" s="278">
        <v>4506.7</v>
      </c>
      <c r="O24" s="278">
        <v>1312108.9181875479</v>
      </c>
      <c r="P24" s="278">
        <v>4916.3999999999996</v>
      </c>
      <c r="Q24" s="278">
        <v>1411564.3838925273</v>
      </c>
      <c r="R24" s="278">
        <v>3687.3000000000011</v>
      </c>
      <c r="S24" s="278">
        <v>1113197.9867775885</v>
      </c>
      <c r="T24" s="278">
        <v>3277.6000000000004</v>
      </c>
      <c r="U24" s="278">
        <v>1013742.5210726082</v>
      </c>
    </row>
    <row r="25" spans="1:21" x14ac:dyDescent="0.3">
      <c r="A25" s="291"/>
      <c r="B25" s="295"/>
      <c r="C25" s="294"/>
      <c r="D25" s="317"/>
      <c r="E25" s="292"/>
      <c r="F25" s="286"/>
      <c r="G25" s="286"/>
      <c r="H25" s="286"/>
      <c r="I25" s="286"/>
      <c r="J25" s="285"/>
      <c r="K25" s="279" t="s">
        <v>122</v>
      </c>
      <c r="L25" s="278">
        <v>3536.9999999999995</v>
      </c>
      <c r="M25" s="278">
        <v>943279.88420361117</v>
      </c>
      <c r="N25" s="278">
        <v>3890.7</v>
      </c>
      <c r="O25" s="278">
        <v>1028332.2626635401</v>
      </c>
      <c r="P25" s="278">
        <v>4244.3999999999996</v>
      </c>
      <c r="Q25" s="278">
        <v>1113384.6411234688</v>
      </c>
      <c r="R25" s="278">
        <v>3183.3000000000006</v>
      </c>
      <c r="S25" s="278">
        <v>858227.5057436825</v>
      </c>
      <c r="T25" s="278">
        <v>2829.6000000000004</v>
      </c>
      <c r="U25" s="278">
        <v>773175.12728375359</v>
      </c>
    </row>
    <row r="26" spans="1:21" x14ac:dyDescent="0.3">
      <c r="A26" s="291"/>
      <c r="B26" s="295"/>
      <c r="C26" s="294"/>
      <c r="D26" s="317"/>
      <c r="E26" s="292"/>
      <c r="F26" s="286"/>
      <c r="G26" s="286"/>
      <c r="H26" s="286"/>
      <c r="I26" s="286"/>
      <c r="J26" s="285"/>
      <c r="K26" s="324"/>
      <c r="L26" s="323"/>
      <c r="M26" s="323"/>
      <c r="N26" s="323"/>
      <c r="O26" s="323"/>
      <c r="P26" s="323"/>
      <c r="Q26" s="323"/>
      <c r="R26" s="323"/>
      <c r="S26" s="323"/>
      <c r="T26" s="323"/>
      <c r="U26" s="322"/>
    </row>
    <row r="27" spans="1:21" ht="15.6" x14ac:dyDescent="0.3">
      <c r="A27" s="291"/>
      <c r="B27" s="295"/>
      <c r="C27" s="294"/>
      <c r="D27" s="317"/>
      <c r="E27" s="292"/>
      <c r="F27" s="286"/>
      <c r="G27" s="286"/>
      <c r="H27" s="286"/>
      <c r="I27" s="286"/>
      <c r="J27" s="285"/>
      <c r="K27" s="505" t="s">
        <v>123</v>
      </c>
      <c r="L27" s="506"/>
      <c r="M27" s="506"/>
      <c r="N27" s="506"/>
      <c r="O27" s="506"/>
      <c r="P27" s="506"/>
      <c r="Q27" s="506"/>
      <c r="R27" s="506"/>
      <c r="S27" s="506"/>
      <c r="T27" s="506"/>
      <c r="U27" s="507"/>
    </row>
    <row r="28" spans="1:21" x14ac:dyDescent="0.3">
      <c r="A28" s="291"/>
      <c r="B28" s="295"/>
      <c r="C28" s="294"/>
      <c r="D28" s="317"/>
      <c r="E28" s="292"/>
      <c r="F28" s="286"/>
      <c r="G28" s="286"/>
      <c r="H28" s="286"/>
      <c r="I28" s="286"/>
      <c r="J28" s="285"/>
      <c r="K28" s="321"/>
      <c r="L28" s="319" t="s">
        <v>96</v>
      </c>
      <c r="M28" s="320"/>
      <c r="N28" s="319" t="s">
        <v>97</v>
      </c>
      <c r="O28" s="320"/>
      <c r="P28" s="319" t="s">
        <v>98</v>
      </c>
      <c r="Q28" s="320"/>
      <c r="R28" s="319" t="s">
        <v>99</v>
      </c>
      <c r="S28" s="320"/>
      <c r="T28" s="319" t="s">
        <v>100</v>
      </c>
      <c r="U28" s="318"/>
    </row>
    <row r="29" spans="1:21" x14ac:dyDescent="0.3">
      <c r="A29" s="291"/>
      <c r="B29" s="295"/>
      <c r="C29" s="294"/>
      <c r="D29" s="317"/>
      <c r="E29" s="292"/>
      <c r="F29" s="286"/>
      <c r="G29" s="286"/>
      <c r="H29" s="286"/>
      <c r="I29" s="286"/>
      <c r="J29" s="285"/>
      <c r="K29" s="316" t="s">
        <v>106</v>
      </c>
      <c r="L29" s="315" t="s">
        <v>107</v>
      </c>
      <c r="M29" s="315" t="s">
        <v>48</v>
      </c>
      <c r="N29" s="315" t="s">
        <v>107</v>
      </c>
      <c r="O29" s="315" t="s">
        <v>48</v>
      </c>
      <c r="P29" s="315" t="s">
        <v>107</v>
      </c>
      <c r="Q29" s="315" t="s">
        <v>48</v>
      </c>
      <c r="R29" s="315" t="s">
        <v>107</v>
      </c>
      <c r="S29" s="315" t="s">
        <v>48</v>
      </c>
      <c r="T29" s="315" t="s">
        <v>107</v>
      </c>
      <c r="U29" s="315" t="s">
        <v>48</v>
      </c>
    </row>
    <row r="30" spans="1:21" x14ac:dyDescent="0.3">
      <c r="A30" s="314"/>
      <c r="B30" s="290"/>
      <c r="C30" s="289"/>
      <c r="D30" s="313"/>
      <c r="E30" s="287"/>
      <c r="F30" s="286"/>
      <c r="G30" s="286"/>
      <c r="H30" s="286"/>
      <c r="I30" s="286"/>
      <c r="J30" s="285"/>
      <c r="K30" s="297" t="s">
        <v>62</v>
      </c>
      <c r="L30" s="312">
        <v>932.99999999999966</v>
      </c>
      <c r="M30" s="300">
        <v>1523.9619433333601</v>
      </c>
      <c r="N30" s="312">
        <v>1026.2999999999993</v>
      </c>
      <c r="O30" s="300">
        <v>1345.3944158669333</v>
      </c>
      <c r="P30" s="312">
        <v>1119.6000000000004</v>
      </c>
      <c r="Q30" s="300">
        <v>1166.826888400507</v>
      </c>
      <c r="R30" s="312">
        <v>839.70000000000016</v>
      </c>
      <c r="S30" s="300">
        <v>1702.5294707997875</v>
      </c>
      <c r="T30" s="312">
        <v>746.40000000000032</v>
      </c>
      <c r="U30" s="300">
        <v>1881.0969982662134</v>
      </c>
    </row>
    <row r="31" spans="1:21" x14ac:dyDescent="0.3">
      <c r="A31" s="284"/>
      <c r="B31" s="283"/>
      <c r="C31" s="283"/>
      <c r="D31" s="283" t="s">
        <v>124</v>
      </c>
      <c r="E31" s="282">
        <v>20000</v>
      </c>
      <c r="F31" s="281"/>
      <c r="G31" s="281"/>
      <c r="H31" s="281"/>
      <c r="I31" s="281"/>
      <c r="J31" s="280"/>
      <c r="K31" s="297" t="s">
        <v>63</v>
      </c>
      <c r="L31" s="296">
        <v>732.00000000000023</v>
      </c>
      <c r="M31" s="292">
        <v>1495.3109498122349</v>
      </c>
      <c r="N31" s="296">
        <v>805.20000000000039</v>
      </c>
      <c r="O31" s="292">
        <v>1349.2157513030761</v>
      </c>
      <c r="P31" s="296">
        <v>878.4000000000002</v>
      </c>
      <c r="Q31" s="292">
        <v>1203.1205527939167</v>
      </c>
      <c r="R31" s="296">
        <v>658.80000000000018</v>
      </c>
      <c r="S31" s="292">
        <v>1641.4061483213936</v>
      </c>
      <c r="T31" s="296">
        <v>585.59999999999991</v>
      </c>
      <c r="U31" s="292">
        <v>1787.5013468305538</v>
      </c>
    </row>
    <row r="32" spans="1:21" x14ac:dyDescent="0.3">
      <c r="A32" s="311"/>
      <c r="B32" s="310"/>
      <c r="C32" s="310"/>
      <c r="D32" s="309"/>
      <c r="E32" s="308"/>
      <c r="F32" s="307"/>
      <c r="G32" s="307"/>
      <c r="H32" s="307"/>
      <c r="I32" s="307"/>
      <c r="J32" s="306"/>
      <c r="K32" s="297" t="s">
        <v>64</v>
      </c>
      <c r="L32" s="296">
        <v>538</v>
      </c>
      <c r="M32" s="292">
        <v>1155.5023345435386</v>
      </c>
      <c r="N32" s="296">
        <v>591.79999999999984</v>
      </c>
      <c r="O32" s="292">
        <v>1042.9642242861285</v>
      </c>
      <c r="P32" s="296">
        <v>645.59999999999991</v>
      </c>
      <c r="Q32" s="292">
        <v>930.42611402871898</v>
      </c>
      <c r="R32" s="296">
        <v>484.2</v>
      </c>
      <c r="S32" s="292">
        <v>1268.0404448009479</v>
      </c>
      <c r="T32" s="296">
        <v>430.39999999999992</v>
      </c>
      <c r="U32" s="292">
        <v>1380.5785550583569</v>
      </c>
    </row>
    <row r="33" spans="1:21" ht="15.6" x14ac:dyDescent="0.3">
      <c r="A33" s="502" t="s">
        <v>125</v>
      </c>
      <c r="B33" s="503"/>
      <c r="C33" s="503"/>
      <c r="D33" s="503"/>
      <c r="E33" s="503"/>
      <c r="F33" s="503"/>
      <c r="G33" s="503"/>
      <c r="H33" s="503"/>
      <c r="I33" s="503"/>
      <c r="J33" s="504"/>
      <c r="K33" s="297" t="s">
        <v>34</v>
      </c>
      <c r="L33" s="296">
        <v>246</v>
      </c>
      <c r="M33" s="292">
        <v>166.88224958406107</v>
      </c>
      <c r="N33" s="296">
        <v>270.60000000000014</v>
      </c>
      <c r="O33" s="292">
        <v>123.67871075853206</v>
      </c>
      <c r="P33" s="296">
        <v>295.20000000000005</v>
      </c>
      <c r="Q33" s="292">
        <v>80.475171933003224</v>
      </c>
      <c r="R33" s="296">
        <v>221.40000000000006</v>
      </c>
      <c r="S33" s="292">
        <v>210.08578840959007</v>
      </c>
      <c r="T33" s="296">
        <v>196.79999999999998</v>
      </c>
      <c r="U33" s="292">
        <v>253.28932723511872</v>
      </c>
    </row>
    <row r="34" spans="1:21" x14ac:dyDescent="0.3">
      <c r="A34" s="305" t="s">
        <v>67</v>
      </c>
      <c r="B34" s="496" t="s">
        <v>115</v>
      </c>
      <c r="C34" s="497"/>
      <c r="D34" s="498"/>
      <c r="E34" s="305" t="s">
        <v>116</v>
      </c>
      <c r="F34" s="496" t="s">
        <v>117</v>
      </c>
      <c r="G34" s="499"/>
      <c r="H34" s="500"/>
      <c r="I34" s="500"/>
      <c r="J34" s="501"/>
      <c r="K34" s="297" t="s">
        <v>35</v>
      </c>
      <c r="L34" s="296">
        <v>66.999999999999972</v>
      </c>
      <c r="M34" s="292">
        <v>27.308632483146994</v>
      </c>
      <c r="N34" s="296">
        <v>73.699999999999918</v>
      </c>
      <c r="O34" s="292">
        <v>15.245589245979041</v>
      </c>
      <c r="P34" s="296">
        <v>80.400000000000048</v>
      </c>
      <c r="Q34" s="292">
        <v>3.1825460088110971</v>
      </c>
      <c r="R34" s="296">
        <v>60.30000000000004</v>
      </c>
      <c r="S34" s="292">
        <v>39.371675720314968</v>
      </c>
      <c r="T34" s="296">
        <v>53.600000000000009</v>
      </c>
      <c r="U34" s="292">
        <v>51.4347189574829</v>
      </c>
    </row>
    <row r="35" spans="1:21" x14ac:dyDescent="0.3">
      <c r="A35" s="304"/>
      <c r="B35" s="303"/>
      <c r="C35" s="302"/>
      <c r="D35" s="301"/>
      <c r="E35" s="300"/>
      <c r="F35" s="299"/>
      <c r="G35" s="299"/>
      <c r="H35" s="299"/>
      <c r="I35" s="299"/>
      <c r="J35" s="298"/>
      <c r="K35" s="297" t="s">
        <v>36</v>
      </c>
      <c r="L35" s="296">
        <v>4.9999999999999956</v>
      </c>
      <c r="M35" s="292">
        <v>19.136335556225099</v>
      </c>
      <c r="N35" s="296">
        <v>5.4999999999999929</v>
      </c>
      <c r="O35" s="292">
        <v>17.755025473939874</v>
      </c>
      <c r="P35" s="296">
        <v>6.0000000000000018</v>
      </c>
      <c r="Q35" s="292">
        <v>16.373715391654642</v>
      </c>
      <c r="R35" s="296">
        <v>4.4999999999999982</v>
      </c>
      <c r="S35" s="292">
        <v>20.517645638510345</v>
      </c>
      <c r="T35" s="296">
        <v>3.9999999999999996</v>
      </c>
      <c r="U35" s="292">
        <v>21.898955720795634</v>
      </c>
    </row>
    <row r="36" spans="1:21" x14ac:dyDescent="0.3">
      <c r="A36" s="291"/>
      <c r="B36" s="295"/>
      <c r="C36" s="294"/>
      <c r="D36" s="293"/>
      <c r="E36" s="292"/>
      <c r="F36" s="286"/>
      <c r="G36" s="286"/>
      <c r="H36" s="286"/>
      <c r="I36" s="286"/>
      <c r="J36" s="285"/>
      <c r="K36" s="297" t="s">
        <v>37</v>
      </c>
      <c r="L36" s="296">
        <v>0</v>
      </c>
      <c r="M36" s="292">
        <v>197.05165310004796</v>
      </c>
      <c r="N36" s="296">
        <v>0</v>
      </c>
      <c r="O36" s="292">
        <v>196.96422219411301</v>
      </c>
      <c r="P36" s="296">
        <v>0</v>
      </c>
      <c r="Q36" s="292">
        <v>196.87679128817808</v>
      </c>
      <c r="R36" s="296">
        <v>0</v>
      </c>
      <c r="S36" s="292">
        <v>197.13908400598294</v>
      </c>
      <c r="T36" s="296">
        <v>0</v>
      </c>
      <c r="U36" s="292">
        <v>197.22651491191783</v>
      </c>
    </row>
    <row r="37" spans="1:21" x14ac:dyDescent="0.3">
      <c r="A37" s="291"/>
      <c r="B37" s="295"/>
      <c r="C37" s="294"/>
      <c r="D37" s="293"/>
      <c r="E37" s="292"/>
      <c r="F37" s="286"/>
      <c r="G37" s="286"/>
      <c r="H37" s="286"/>
      <c r="I37" s="286"/>
      <c r="J37" s="285"/>
      <c r="K37" s="297" t="s">
        <v>38</v>
      </c>
      <c r="L37" s="296">
        <v>0</v>
      </c>
      <c r="M37" s="292">
        <v>221.82814922759155</v>
      </c>
      <c r="N37" s="296">
        <v>0</v>
      </c>
      <c r="O37" s="292">
        <v>221.82770640273034</v>
      </c>
      <c r="P37" s="296">
        <v>0</v>
      </c>
      <c r="Q37" s="292">
        <v>221.82726357786927</v>
      </c>
      <c r="R37" s="296">
        <v>0</v>
      </c>
      <c r="S37" s="292">
        <v>221.82859205245262</v>
      </c>
      <c r="T37" s="296">
        <v>0</v>
      </c>
      <c r="U37" s="292">
        <v>221.82903487731372</v>
      </c>
    </row>
    <row r="38" spans="1:21" x14ac:dyDescent="0.3">
      <c r="A38" s="291"/>
      <c r="B38" s="295"/>
      <c r="C38" s="294"/>
      <c r="D38" s="293"/>
      <c r="E38" s="292"/>
      <c r="F38" s="286"/>
      <c r="G38" s="286"/>
      <c r="H38" s="286"/>
      <c r="I38" s="286"/>
      <c r="J38" s="285"/>
      <c r="K38" s="297" t="s">
        <v>39</v>
      </c>
      <c r="L38" s="296">
        <v>29.999999999999993</v>
      </c>
      <c r="M38" s="292">
        <v>479.14209850371861</v>
      </c>
      <c r="N38" s="296">
        <v>33</v>
      </c>
      <c r="O38" s="292">
        <v>476.47783554439633</v>
      </c>
      <c r="P38" s="296">
        <v>36.000000000000007</v>
      </c>
      <c r="Q38" s="292">
        <v>473.81357258507427</v>
      </c>
      <c r="R38" s="296">
        <v>27.000000000000007</v>
      </c>
      <c r="S38" s="292">
        <v>481.80636146304067</v>
      </c>
      <c r="T38" s="296">
        <v>24.000000000000004</v>
      </c>
      <c r="U38" s="292">
        <v>484.47062442236302</v>
      </c>
    </row>
    <row r="39" spans="1:21" x14ac:dyDescent="0.3">
      <c r="A39" s="291"/>
      <c r="B39" s="295"/>
      <c r="C39" s="294"/>
      <c r="D39" s="293"/>
      <c r="E39" s="292"/>
      <c r="F39" s="286"/>
      <c r="G39" s="286"/>
      <c r="H39" s="286"/>
      <c r="I39" s="286"/>
      <c r="J39" s="285"/>
      <c r="K39" s="297" t="s">
        <v>40</v>
      </c>
      <c r="L39" s="296">
        <v>212</v>
      </c>
      <c r="M39" s="292">
        <v>541.81757763959081</v>
      </c>
      <c r="N39" s="296">
        <v>233.20000000000005</v>
      </c>
      <c r="O39" s="292">
        <v>517.54097891768788</v>
      </c>
      <c r="P39" s="296">
        <v>254.40000000000003</v>
      </c>
      <c r="Q39" s="292">
        <v>493.26438019578507</v>
      </c>
      <c r="R39" s="296">
        <v>190.79999999999998</v>
      </c>
      <c r="S39" s="292">
        <v>566.09417636149362</v>
      </c>
      <c r="T39" s="296">
        <v>169.6</v>
      </c>
      <c r="U39" s="292">
        <v>590.37077508339644</v>
      </c>
    </row>
    <row r="40" spans="1:21" x14ac:dyDescent="0.3">
      <c r="A40" s="291"/>
      <c r="B40" s="295"/>
      <c r="C40" s="294"/>
      <c r="D40" s="293"/>
      <c r="E40" s="292"/>
      <c r="F40" s="286"/>
      <c r="G40" s="286"/>
      <c r="H40" s="286"/>
      <c r="I40" s="286"/>
      <c r="J40" s="285"/>
      <c r="K40" s="297" t="s">
        <v>65</v>
      </c>
      <c r="L40" s="296">
        <v>493.00000000000023</v>
      </c>
      <c r="M40" s="292">
        <v>859.44964574094251</v>
      </c>
      <c r="N40" s="296">
        <v>542.29999999999995</v>
      </c>
      <c r="O40" s="292">
        <v>777.87761443040893</v>
      </c>
      <c r="P40" s="296">
        <v>591.60000000000014</v>
      </c>
      <c r="Q40" s="292">
        <v>696.30558311987591</v>
      </c>
      <c r="R40" s="296">
        <v>443.70000000000016</v>
      </c>
      <c r="S40" s="292">
        <v>941.02167705147576</v>
      </c>
      <c r="T40" s="296">
        <v>394.39999999999986</v>
      </c>
      <c r="U40" s="292">
        <v>1022.593708362009</v>
      </c>
    </row>
    <row r="41" spans="1:21" x14ac:dyDescent="0.3">
      <c r="A41" s="291"/>
      <c r="B41" s="295"/>
      <c r="C41" s="294"/>
      <c r="D41" s="293"/>
      <c r="E41" s="292"/>
      <c r="F41" s="286"/>
      <c r="G41" s="286"/>
      <c r="H41" s="286"/>
      <c r="I41" s="286"/>
      <c r="J41" s="285"/>
      <c r="K41" s="297" t="s">
        <v>66</v>
      </c>
      <c r="L41" s="296">
        <v>840.99999999999943</v>
      </c>
      <c r="M41" s="292">
        <v>985.68711046846374</v>
      </c>
      <c r="N41" s="296">
        <v>925.10000000000025</v>
      </c>
      <c r="O41" s="292">
        <v>832.75792636137044</v>
      </c>
      <c r="P41" s="296">
        <v>1009.1999999999994</v>
      </c>
      <c r="Q41" s="292">
        <v>679.82874225427759</v>
      </c>
      <c r="R41" s="296">
        <v>756.90000000000009</v>
      </c>
      <c r="S41" s="292">
        <v>1138.6162945755564</v>
      </c>
      <c r="T41" s="296">
        <v>672.8</v>
      </c>
      <c r="U41" s="292">
        <v>1291.5454786826494</v>
      </c>
    </row>
    <row r="42" spans="1:21" x14ac:dyDescent="0.3">
      <c r="A42" s="291"/>
      <c r="B42" s="295"/>
      <c r="C42" s="294"/>
      <c r="D42" s="293"/>
      <c r="E42" s="292"/>
      <c r="F42" s="286"/>
      <c r="G42" s="286"/>
      <c r="H42" s="286"/>
      <c r="I42" s="286"/>
      <c r="J42" s="285"/>
      <c r="K42" s="279" t="s">
        <v>126</v>
      </c>
      <c r="L42" s="278">
        <v>4096.9999999999991</v>
      </c>
      <c r="M42" s="278">
        <v>7673.0786799929228</v>
      </c>
      <c r="N42" s="278">
        <v>4506.7</v>
      </c>
      <c r="O42" s="278">
        <v>6917.7000007852967</v>
      </c>
      <c r="P42" s="278">
        <v>4916.3999999999996</v>
      </c>
      <c r="Q42" s="278">
        <v>6162.3213215776723</v>
      </c>
      <c r="R42" s="278">
        <v>3687.3000000000011</v>
      </c>
      <c r="S42" s="278">
        <v>8428.4573592005472</v>
      </c>
      <c r="T42" s="278">
        <v>3277.6000000000004</v>
      </c>
      <c r="U42" s="278">
        <v>9183.8360384081698</v>
      </c>
    </row>
    <row r="43" spans="1:21" x14ac:dyDescent="0.3">
      <c r="A43" s="291"/>
      <c r="B43" s="295"/>
      <c r="C43" s="294"/>
      <c r="D43" s="293"/>
      <c r="E43" s="292"/>
      <c r="F43" s="286"/>
      <c r="G43" s="286"/>
      <c r="H43" s="286"/>
      <c r="I43" s="286"/>
      <c r="J43" s="285"/>
      <c r="K43" s="279" t="s">
        <v>127</v>
      </c>
      <c r="L43" s="278">
        <v>3536.9999999999995</v>
      </c>
      <c r="M43" s="278">
        <v>6019.9119838985389</v>
      </c>
      <c r="N43" s="278">
        <v>3890.7</v>
      </c>
      <c r="O43" s="278">
        <v>5348.209932247918</v>
      </c>
      <c r="P43" s="278">
        <v>4244.3999999999996</v>
      </c>
      <c r="Q43" s="278">
        <v>4676.5078805972962</v>
      </c>
      <c r="R43" s="278">
        <v>3183.3000000000006</v>
      </c>
      <c r="S43" s="278">
        <v>6691.6140355491607</v>
      </c>
      <c r="T43" s="278">
        <v>2829.6000000000004</v>
      </c>
      <c r="U43" s="278">
        <v>7363.3160871997825</v>
      </c>
    </row>
    <row r="44" spans="1:21" x14ac:dyDescent="0.3">
      <c r="A44" s="291"/>
      <c r="B44" s="290"/>
      <c r="C44" s="289"/>
      <c r="D44" s="288"/>
      <c r="E44" s="287"/>
      <c r="F44" s="286"/>
      <c r="G44" s="286"/>
      <c r="H44" s="286"/>
      <c r="I44" s="286"/>
      <c r="J44" s="285"/>
      <c r="K44" s="279" t="s">
        <v>128</v>
      </c>
      <c r="L44" s="278">
        <v>4096.9999999999991</v>
      </c>
      <c r="M44" s="278">
        <v>1220326.5311625609</v>
      </c>
      <c r="N44" s="278">
        <v>4506.7</v>
      </c>
      <c r="O44" s="278">
        <v>1319026.6181883332</v>
      </c>
      <c r="P44" s="278">
        <v>4916.3999999999996</v>
      </c>
      <c r="Q44" s="278">
        <v>1417726.7052141051</v>
      </c>
      <c r="R44" s="278">
        <v>3687.3000000000011</v>
      </c>
      <c r="S44" s="278">
        <v>1121626.4441367891</v>
      </c>
      <c r="T44" s="278">
        <v>3277.6000000000004</v>
      </c>
      <c r="U44" s="278">
        <v>1022926.3571110164</v>
      </c>
    </row>
    <row r="45" spans="1:21" x14ac:dyDescent="0.3">
      <c r="A45" s="284"/>
      <c r="B45" s="283"/>
      <c r="C45" s="283"/>
      <c r="D45" s="283" t="s">
        <v>129</v>
      </c>
      <c r="E45" s="282">
        <v>0</v>
      </c>
      <c r="F45" s="281"/>
      <c r="G45" s="281"/>
      <c r="H45" s="281"/>
      <c r="I45" s="281"/>
      <c r="J45" s="280"/>
      <c r="K45" s="279" t="s">
        <v>130</v>
      </c>
      <c r="L45" s="278">
        <v>3536.9999999999995</v>
      </c>
      <c r="M45" s="278">
        <v>949299.79618750967</v>
      </c>
      <c r="N45" s="278">
        <v>3890.7</v>
      </c>
      <c r="O45" s="278">
        <v>1033680.472595788</v>
      </c>
      <c r="P45" s="278">
        <v>4244.3999999999996</v>
      </c>
      <c r="Q45" s="278">
        <v>1118061.1490040661</v>
      </c>
      <c r="R45" s="278">
        <v>3183.3000000000006</v>
      </c>
      <c r="S45" s="278">
        <v>864919.11977923161</v>
      </c>
      <c r="T45" s="278">
        <v>2829.6000000000004</v>
      </c>
      <c r="U45" s="278">
        <v>780538.44337095344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F4:J4">
    <cfRule type="containsText" dxfId="3" priority="1" stopIfTrue="1" operator="containsText" text="PEAK DAY">
      <formula>NOT(ISERROR(SEARCH("PEAK DAY",F4)))</formula>
    </cfRule>
  </conditionalFormatting>
  <conditionalFormatting sqref="J9">
    <cfRule type="cellIs" dxfId="2" priority="4" stopIfTrue="1" operator="greaterThanOrEqual">
      <formula>#REF!</formula>
    </cfRule>
  </conditionalFormatting>
  <conditionalFormatting sqref="J10">
    <cfRule type="cellIs" dxfId="1" priority="3" stopIfTrue="1" operator="greaterThanOrEqual">
      <formula>#REF!</formula>
    </cfRule>
  </conditionalFormatting>
  <conditionalFormatting sqref="H9">
    <cfRule type="cellIs" dxfId="0" priority="2" stopIfTrue="1" operator="greaterThanOrEqual">
      <formula>#REF!</formula>
    </cfRule>
  </conditionalFormatting>
  <pageMargins left="0.7" right="0.7" top="0.75" bottom="0.75" header="0.3" footer="0.3"/>
  <pageSetup scale="66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38"/>
  <sheetViews>
    <sheetView topLeftCell="U1" workbookViewId="0">
      <selection activeCell="J35" sqref="J35"/>
    </sheetView>
  </sheetViews>
  <sheetFormatPr defaultRowHeight="13.2" x14ac:dyDescent="0.25"/>
  <cols>
    <col min="2" max="2" width="0" hidden="1" customWidth="1"/>
    <col min="3" max="3" width="11.6640625" hidden="1" customWidth="1"/>
    <col min="4" max="4" width="12.5546875" hidden="1" customWidth="1"/>
    <col min="5" max="6" width="11.5546875" hidden="1" customWidth="1"/>
    <col min="7" max="7" width="0" hidden="1" customWidth="1"/>
    <col min="8" max="8" width="10" hidden="1" customWidth="1"/>
    <col min="9" max="9" width="0" hidden="1" customWidth="1"/>
    <col min="10" max="10" width="19" hidden="1" customWidth="1"/>
  </cols>
  <sheetData>
    <row r="2" spans="2:43" x14ac:dyDescent="0.25">
      <c r="C2" t="s">
        <v>177</v>
      </c>
      <c r="D2" t="s">
        <v>178</v>
      </c>
      <c r="E2" t="s">
        <v>179</v>
      </c>
      <c r="F2" t="s">
        <v>180</v>
      </c>
      <c r="L2" t="s">
        <v>177</v>
      </c>
      <c r="M2" t="s">
        <v>178</v>
      </c>
      <c r="N2" t="s">
        <v>179</v>
      </c>
      <c r="O2" t="s">
        <v>180</v>
      </c>
      <c r="V2" t="s">
        <v>177</v>
      </c>
      <c r="W2" t="s">
        <v>178</v>
      </c>
      <c r="X2" t="s">
        <v>179</v>
      </c>
      <c r="Y2" t="s">
        <v>180</v>
      </c>
      <c r="AF2" t="s">
        <v>177</v>
      </c>
      <c r="AG2" t="s">
        <v>178</v>
      </c>
      <c r="AH2" t="s">
        <v>179</v>
      </c>
      <c r="AI2" t="s">
        <v>180</v>
      </c>
      <c r="AN2" t="s">
        <v>177</v>
      </c>
      <c r="AO2" t="s">
        <v>178</v>
      </c>
      <c r="AP2" t="s">
        <v>179</v>
      </c>
      <c r="AQ2" t="s">
        <v>180</v>
      </c>
    </row>
    <row r="3" spans="2:43" x14ac:dyDescent="0.25">
      <c r="B3" s="7">
        <v>42826</v>
      </c>
      <c r="C3" s="170">
        <v>6436.5461007834583</v>
      </c>
      <c r="D3" s="15">
        <v>14213.082585385426</v>
      </c>
      <c r="E3" s="15">
        <v>8453.3839046119683</v>
      </c>
      <c r="F3" s="15">
        <v>2522.4008256788466</v>
      </c>
      <c r="K3" s="7">
        <v>42856</v>
      </c>
      <c r="L3" s="170">
        <v>4153.7852964292597</v>
      </c>
      <c r="M3" s="15">
        <v>7506.6338969579992</v>
      </c>
      <c r="N3" s="15">
        <v>5522.8471637686234</v>
      </c>
      <c r="O3" s="15">
        <v>1276.2104318016791</v>
      </c>
      <c r="U3" s="7">
        <v>42887</v>
      </c>
      <c r="V3" s="170">
        <v>3261.3425411790554</v>
      </c>
      <c r="W3" s="15">
        <v>6749.7466532184262</v>
      </c>
      <c r="X3" s="15">
        <v>3890.3140041917568</v>
      </c>
      <c r="Y3" s="15">
        <v>1031.541922775893</v>
      </c>
      <c r="AE3" s="7">
        <v>42917</v>
      </c>
      <c r="AF3" s="170">
        <v>2403.601728586505</v>
      </c>
      <c r="AG3" s="15">
        <v>5970.5318812058031</v>
      </c>
      <c r="AH3" s="15">
        <v>2832.024372097766</v>
      </c>
      <c r="AI3" s="15">
        <v>691.57807668057319</v>
      </c>
      <c r="AM3" s="7">
        <v>42948</v>
      </c>
      <c r="AN3" s="170">
        <v>2396</v>
      </c>
      <c r="AO3" s="15">
        <v>5200</v>
      </c>
      <c r="AP3" s="15">
        <v>3009</v>
      </c>
      <c r="AQ3" s="15">
        <v>750</v>
      </c>
    </row>
    <row r="4" spans="2:43" x14ac:dyDescent="0.25">
      <c r="B4" s="7">
        <v>42827</v>
      </c>
      <c r="C4" s="15">
        <v>6312.9406849310699</v>
      </c>
      <c r="D4" s="15">
        <v>13462.75656641455</v>
      </c>
      <c r="E4" s="15">
        <v>8063.4953757170715</v>
      </c>
      <c r="F4" s="15">
        <v>2318.8375269311905</v>
      </c>
      <c r="K4" s="7">
        <v>42857</v>
      </c>
      <c r="L4" s="15">
        <v>4295.1750795361622</v>
      </c>
      <c r="M4" s="15">
        <v>8397.4063483944046</v>
      </c>
      <c r="N4" s="15">
        <v>5438.8122961634281</v>
      </c>
      <c r="O4" s="15">
        <v>1446.5655936892974</v>
      </c>
      <c r="U4" s="7">
        <v>42888</v>
      </c>
      <c r="V4" s="15">
        <v>3087.7095626379946</v>
      </c>
      <c r="W4" s="15">
        <v>7004.6083433129143</v>
      </c>
      <c r="X4" s="15">
        <v>3599.0205152908866</v>
      </c>
      <c r="Y4" s="15">
        <v>869.74784527141583</v>
      </c>
      <c r="AE4" s="7">
        <v>42918</v>
      </c>
      <c r="AF4" s="15">
        <v>2510.7838029669056</v>
      </c>
      <c r="AG4" s="15">
        <v>5246.1136407696922</v>
      </c>
      <c r="AH4" s="15">
        <v>2819.0662980060497</v>
      </c>
      <c r="AI4" s="15">
        <v>604.25062007996678</v>
      </c>
      <c r="AM4" s="7">
        <v>42949</v>
      </c>
      <c r="AN4" s="170">
        <v>2396</v>
      </c>
      <c r="AO4" s="15">
        <v>5200</v>
      </c>
      <c r="AP4" s="15">
        <v>3009</v>
      </c>
      <c r="AQ4" s="15">
        <v>750</v>
      </c>
    </row>
    <row r="5" spans="2:43" x14ac:dyDescent="0.25">
      <c r="B5" s="7">
        <v>42828</v>
      </c>
      <c r="C5" s="15">
        <v>6411.9296048083479</v>
      </c>
      <c r="D5" s="15">
        <v>12259.391232119242</v>
      </c>
      <c r="E5" s="15">
        <v>8463.508024253224</v>
      </c>
      <c r="F5" s="15">
        <v>2382.7507355965181</v>
      </c>
      <c r="K5" s="7">
        <v>42858</v>
      </c>
      <c r="L5" s="15">
        <v>4070.5569604992497</v>
      </c>
      <c r="M5" s="15">
        <v>8808.4512515728456</v>
      </c>
      <c r="N5" s="15">
        <v>5256.1108603369821</v>
      </c>
      <c r="O5" s="15">
        <v>1346.5099910878432</v>
      </c>
      <c r="U5" s="7">
        <v>42889</v>
      </c>
      <c r="V5" s="15">
        <v>2645.0635817532748</v>
      </c>
      <c r="W5" s="15">
        <v>6862.7104990322641</v>
      </c>
      <c r="X5" s="15">
        <v>3141.4271296189281</v>
      </c>
      <c r="Y5" s="15">
        <v>718.86792583360943</v>
      </c>
      <c r="AE5" s="7">
        <v>42919</v>
      </c>
      <c r="AF5" s="15">
        <v>2781.2133620837476</v>
      </c>
      <c r="AG5" s="15">
        <v>4524.7840264850001</v>
      </c>
      <c r="AH5" s="15">
        <v>3498.4018230553074</v>
      </c>
      <c r="AI5" s="15">
        <v>729.95228809407354</v>
      </c>
      <c r="AM5" s="7">
        <v>42950</v>
      </c>
      <c r="AN5" s="170">
        <v>2396</v>
      </c>
      <c r="AO5" s="15">
        <v>5200</v>
      </c>
      <c r="AP5" s="15">
        <v>3009</v>
      </c>
      <c r="AQ5" s="15">
        <v>750</v>
      </c>
    </row>
    <row r="6" spans="2:43" x14ac:dyDescent="0.25">
      <c r="B6" s="7">
        <v>42829</v>
      </c>
      <c r="C6" s="15">
        <v>5891.2499627646821</v>
      </c>
      <c r="D6" s="15">
        <v>12205.09945096004</v>
      </c>
      <c r="E6" s="15">
        <v>7946.3982518624352</v>
      </c>
      <c r="F6" s="15">
        <v>2304.4820908570373</v>
      </c>
      <c r="K6" s="7">
        <v>42859</v>
      </c>
      <c r="L6" s="15">
        <v>3794.212516026063</v>
      </c>
      <c r="M6" s="15">
        <v>8551.3741952663368</v>
      </c>
      <c r="N6" s="15">
        <v>5059.6483125134882</v>
      </c>
      <c r="O6" s="15">
        <v>1375.2903987973743</v>
      </c>
      <c r="U6" s="7">
        <v>42890</v>
      </c>
      <c r="V6" s="15">
        <v>2819.9998571963561</v>
      </c>
      <c r="W6" s="15">
        <v>6322.9511890843196</v>
      </c>
      <c r="X6" s="15">
        <v>2931.621892033429</v>
      </c>
      <c r="Y6" s="15">
        <v>654.96404127859887</v>
      </c>
      <c r="AE6" s="7">
        <v>42920</v>
      </c>
      <c r="AF6" s="15">
        <v>2805.3019113005798</v>
      </c>
      <c r="AG6" s="15">
        <v>4608.5101091445013</v>
      </c>
      <c r="AH6" s="15">
        <v>3476.7416555012305</v>
      </c>
      <c r="AI6" s="15">
        <v>775.12679323512793</v>
      </c>
      <c r="AM6" s="7">
        <v>42951</v>
      </c>
      <c r="AN6" s="170">
        <v>2396</v>
      </c>
      <c r="AO6" s="15">
        <v>5200</v>
      </c>
      <c r="AP6" s="15">
        <v>3009</v>
      </c>
      <c r="AQ6" s="15">
        <v>750</v>
      </c>
    </row>
    <row r="7" spans="2:43" x14ac:dyDescent="0.25">
      <c r="B7" s="7">
        <v>42830</v>
      </c>
      <c r="C7" s="15">
        <v>5573.0565984527129</v>
      </c>
      <c r="D7" s="15">
        <v>12824.646831171074</v>
      </c>
      <c r="E7" s="15">
        <v>7827.5865537966411</v>
      </c>
      <c r="F7" s="15">
        <v>2242.5404258497592</v>
      </c>
      <c r="K7" s="7">
        <v>42860</v>
      </c>
      <c r="L7" s="15">
        <v>3645.4606636460021</v>
      </c>
      <c r="M7" s="15">
        <v>8682.0140702763638</v>
      </c>
      <c r="N7" s="15">
        <v>4827.8894363952177</v>
      </c>
      <c r="O7" s="15">
        <v>1226.772726271802</v>
      </c>
      <c r="U7" s="7">
        <v>42891</v>
      </c>
      <c r="V7" s="15">
        <v>3131.0456991343367</v>
      </c>
      <c r="W7" s="15">
        <v>5446.7573667382048</v>
      </c>
      <c r="X7" s="15">
        <v>3552.7660400615378</v>
      </c>
      <c r="Y7" s="15">
        <v>776.79680478445243</v>
      </c>
      <c r="AE7" s="7">
        <v>42921</v>
      </c>
      <c r="AF7" s="15">
        <v>2710.6870957825322</v>
      </c>
      <c r="AG7" s="15">
        <v>5192.9979707454731</v>
      </c>
      <c r="AH7" s="15">
        <v>3507.7280656054891</v>
      </c>
      <c r="AI7" s="15">
        <v>771.22898299732117</v>
      </c>
      <c r="AM7" s="7">
        <v>42952</v>
      </c>
      <c r="AN7" s="170">
        <v>2396</v>
      </c>
      <c r="AO7" s="15">
        <v>5200</v>
      </c>
      <c r="AP7" s="15">
        <v>3009</v>
      </c>
      <c r="AQ7" s="15">
        <v>750</v>
      </c>
    </row>
    <row r="8" spans="2:43" x14ac:dyDescent="0.25">
      <c r="B8" s="7">
        <v>42831</v>
      </c>
      <c r="C8" s="15">
        <v>5407.1151440727172</v>
      </c>
      <c r="D8" s="15">
        <v>12506.505395343194</v>
      </c>
      <c r="E8" s="15">
        <v>7615.5878255837833</v>
      </c>
      <c r="F8" s="15">
        <v>2284.5505174273708</v>
      </c>
      <c r="K8" s="7">
        <v>42861</v>
      </c>
      <c r="L8" s="15">
        <v>3219.611827049926</v>
      </c>
      <c r="M8" s="15">
        <v>8597.911386273172</v>
      </c>
      <c r="N8" s="15">
        <v>4397.2973688881284</v>
      </c>
      <c r="O8" s="15">
        <v>1093.7573636333095</v>
      </c>
      <c r="U8" s="7">
        <v>42892</v>
      </c>
      <c r="V8" s="15">
        <v>3182.407152774495</v>
      </c>
      <c r="W8" s="15">
        <v>5434.7102122215292</v>
      </c>
      <c r="X8" s="15">
        <v>3544.5986092133785</v>
      </c>
      <c r="Y8" s="15">
        <v>824.66894251056078</v>
      </c>
      <c r="AE8" s="7">
        <v>42922</v>
      </c>
      <c r="AF8" s="15">
        <v>2648.3940959491529</v>
      </c>
      <c r="AG8" s="15">
        <v>5298.891670745601</v>
      </c>
      <c r="AH8" s="15">
        <v>3340.775980292834</v>
      </c>
      <c r="AI8" s="15">
        <v>808.15400896744461</v>
      </c>
      <c r="AM8" s="7">
        <v>42953</v>
      </c>
      <c r="AN8" s="170">
        <v>2396</v>
      </c>
      <c r="AO8" s="15">
        <v>5200</v>
      </c>
      <c r="AP8" s="15">
        <v>3009</v>
      </c>
      <c r="AQ8" s="15">
        <v>750</v>
      </c>
    </row>
    <row r="9" spans="2:43" x14ac:dyDescent="0.25">
      <c r="B9" s="7">
        <v>42832</v>
      </c>
      <c r="C9" s="15">
        <v>5065.8243968421593</v>
      </c>
      <c r="D9" s="15">
        <v>12704.287057219668</v>
      </c>
      <c r="E9" s="15">
        <v>7383.2226554083591</v>
      </c>
      <c r="F9" s="15">
        <v>2140.3545789319924</v>
      </c>
      <c r="K9" s="7">
        <v>42862</v>
      </c>
      <c r="L9" s="15">
        <v>3405.5692120007166</v>
      </c>
      <c r="M9" s="15">
        <v>8073.6267796693119</v>
      </c>
      <c r="N9" s="15">
        <v>4134.8850712983976</v>
      </c>
      <c r="O9" s="15">
        <v>1030.2021207069806</v>
      </c>
      <c r="U9" s="7">
        <v>42893</v>
      </c>
      <c r="V9" s="15">
        <v>3105.7047859549857</v>
      </c>
      <c r="W9" s="15">
        <v>6073.2652173335373</v>
      </c>
      <c r="X9" s="15">
        <v>3575.8252678077233</v>
      </c>
      <c r="Y9" s="15">
        <v>820.94087401371939</v>
      </c>
      <c r="AE9" s="7">
        <v>42923</v>
      </c>
      <c r="AF9" s="15">
        <v>2583.3654640532359</v>
      </c>
      <c r="AG9" s="15">
        <v>5614.6349135041182</v>
      </c>
      <c r="AH9" s="15">
        <v>3145.6311682930555</v>
      </c>
      <c r="AI9" s="15">
        <v>757.21572830179048</v>
      </c>
      <c r="AM9" s="7">
        <v>42954</v>
      </c>
      <c r="AN9" s="170">
        <v>2396</v>
      </c>
      <c r="AO9" s="15">
        <v>5200</v>
      </c>
      <c r="AP9" s="15">
        <v>3009</v>
      </c>
      <c r="AQ9" s="15">
        <v>750</v>
      </c>
    </row>
    <row r="10" spans="2:43" x14ac:dyDescent="0.25">
      <c r="B10" s="7">
        <v>42833</v>
      </c>
      <c r="C10" s="15">
        <v>4563.4902142470646</v>
      </c>
      <c r="D10" s="15">
        <v>12644.991155928627</v>
      </c>
      <c r="E10" s="15">
        <v>6633.6401178220649</v>
      </c>
      <c r="F10" s="15">
        <v>2014.8997112843449</v>
      </c>
      <c r="K10" s="7">
        <v>42863</v>
      </c>
      <c r="L10" s="15">
        <v>3723.8850867371971</v>
      </c>
      <c r="M10" s="15">
        <v>7463.9654356643605</v>
      </c>
      <c r="N10" s="15">
        <v>4761.793978293641</v>
      </c>
      <c r="O10" s="15">
        <v>1155.0784734290944</v>
      </c>
      <c r="U10" s="7">
        <v>42894</v>
      </c>
      <c r="V10" s="15">
        <v>3055.2254267212975</v>
      </c>
      <c r="W10" s="15">
        <v>6195.2001677265389</v>
      </c>
      <c r="X10" s="15">
        <v>3410.4152549350838</v>
      </c>
      <c r="Y10" s="15">
        <v>858.36049599312287</v>
      </c>
      <c r="AE10" s="7">
        <v>42924</v>
      </c>
      <c r="AF10" s="15">
        <v>2160.4310100020302</v>
      </c>
      <c r="AG10" s="15">
        <v>5507.1677325215769</v>
      </c>
      <c r="AH10" s="15">
        <v>2735.5282540366597</v>
      </c>
      <c r="AI10" s="15">
        <v>670.40146014715333</v>
      </c>
      <c r="AM10" s="7">
        <v>42955</v>
      </c>
      <c r="AN10" s="170">
        <v>2396</v>
      </c>
      <c r="AO10" s="15">
        <v>5200</v>
      </c>
      <c r="AP10" s="15">
        <v>3009</v>
      </c>
      <c r="AQ10" s="15">
        <v>750</v>
      </c>
    </row>
    <row r="11" spans="2:43" x14ac:dyDescent="0.25">
      <c r="B11" s="7">
        <v>42834</v>
      </c>
      <c r="C11" s="15">
        <v>4753.3440294268548</v>
      </c>
      <c r="D11" s="15">
        <v>12136.571979577238</v>
      </c>
      <c r="E11" s="15">
        <v>6603.5572365807511</v>
      </c>
      <c r="F11" s="15">
        <v>1955.1151909732391</v>
      </c>
      <c r="K11" s="7">
        <v>42864</v>
      </c>
      <c r="L11" s="15">
        <v>3780.0373394126536</v>
      </c>
      <c r="M11" s="15">
        <v>7611.2920003430063</v>
      </c>
      <c r="N11" s="15">
        <v>4767.3065296574205</v>
      </c>
      <c r="O11" s="15">
        <v>1203.9177013760122</v>
      </c>
      <c r="U11" s="7">
        <v>42895</v>
      </c>
      <c r="V11" s="15">
        <v>2997.9820146333282</v>
      </c>
      <c r="W11" s="15">
        <v>6522.0182089817572</v>
      </c>
      <c r="X11" s="15">
        <v>3216.027259791992</v>
      </c>
      <c r="Y11" s="15">
        <v>807.59797837687961</v>
      </c>
      <c r="AE11" s="7">
        <v>42925</v>
      </c>
      <c r="AF11" s="15">
        <v>2354.8216070199151</v>
      </c>
      <c r="AG11" s="15">
        <v>4986.9551345163763</v>
      </c>
      <c r="AH11" s="15">
        <v>2761.6590454556035</v>
      </c>
      <c r="AI11" s="15">
        <v>594.7656303241157</v>
      </c>
      <c r="AM11" s="7">
        <v>42956</v>
      </c>
      <c r="AN11" s="170">
        <v>2396</v>
      </c>
      <c r="AO11" s="15">
        <v>5200</v>
      </c>
      <c r="AP11" s="15">
        <v>3009</v>
      </c>
      <c r="AQ11" s="15">
        <v>750</v>
      </c>
    </row>
    <row r="12" spans="2:43" x14ac:dyDescent="0.25">
      <c r="B12" s="7">
        <v>42835</v>
      </c>
      <c r="C12" s="15">
        <v>5067.4613580901514</v>
      </c>
      <c r="D12" s="15">
        <v>11116.731420239046</v>
      </c>
      <c r="E12" s="15">
        <v>7318.7067628114055</v>
      </c>
      <c r="F12" s="15">
        <v>2082.3625900786292</v>
      </c>
      <c r="K12" s="7">
        <v>42865</v>
      </c>
      <c r="L12" s="15">
        <v>3706.4926124490039</v>
      </c>
      <c r="M12" s="15">
        <v>8231.8259656502378</v>
      </c>
      <c r="N12" s="15">
        <v>4805.6316184832012</v>
      </c>
      <c r="O12" s="15">
        <v>1200.9794782179565</v>
      </c>
      <c r="U12" s="7">
        <v>42896</v>
      </c>
      <c r="V12" s="15">
        <v>2580.1788035845007</v>
      </c>
      <c r="W12" s="15">
        <v>6420.567153494987</v>
      </c>
      <c r="X12" s="15">
        <v>2806.4465145610789</v>
      </c>
      <c r="Y12" s="15">
        <v>720.91762496552724</v>
      </c>
      <c r="AE12" s="7">
        <v>42926</v>
      </c>
      <c r="AF12" s="15">
        <v>2677.8842420314259</v>
      </c>
      <c r="AG12" s="15">
        <v>4377.2652366081002</v>
      </c>
      <c r="AH12" s="15">
        <v>3460.9606595303489</v>
      </c>
      <c r="AI12" s="15">
        <v>723.63289718648002</v>
      </c>
      <c r="AM12" s="7">
        <v>42957</v>
      </c>
      <c r="AN12" s="170">
        <v>2396</v>
      </c>
      <c r="AO12" s="15">
        <v>5200</v>
      </c>
      <c r="AP12" s="15">
        <v>3009</v>
      </c>
      <c r="AQ12" s="15">
        <v>750</v>
      </c>
    </row>
    <row r="13" spans="2:43" x14ac:dyDescent="0.25">
      <c r="B13" s="7">
        <v>42836</v>
      </c>
      <c r="C13" s="15">
        <v>4934.7481238655237</v>
      </c>
      <c r="D13" s="15">
        <v>11140.930180712297</v>
      </c>
      <c r="E13" s="15">
        <v>7312.2202239757116</v>
      </c>
      <c r="F13" s="15">
        <v>2047.9260549706339</v>
      </c>
      <c r="K13" s="7">
        <v>42866</v>
      </c>
      <c r="L13" s="15">
        <v>3658.0943943520515</v>
      </c>
      <c r="M13" s="15">
        <v>8018.0113440041059</v>
      </c>
      <c r="N13" s="15">
        <v>4645.0362570238394</v>
      </c>
      <c r="O13" s="15">
        <v>1238.7943063029388</v>
      </c>
      <c r="U13" s="7">
        <v>42897</v>
      </c>
      <c r="V13" s="15">
        <v>2777.9513108395799</v>
      </c>
      <c r="W13" s="15">
        <v>5903.8034340676659</v>
      </c>
      <c r="X13" s="15">
        <v>2832.9050695283286</v>
      </c>
      <c r="Y13" s="15">
        <v>645.35074165020364</v>
      </c>
      <c r="AE13" s="7">
        <v>42927</v>
      </c>
      <c r="AF13" s="15">
        <v>2737.2661191138559</v>
      </c>
      <c r="AG13" s="15">
        <v>4524.8912423605361</v>
      </c>
      <c r="AH13" s="15">
        <v>3452.9075102551924</v>
      </c>
      <c r="AI13" s="15">
        <v>771.67730185278083</v>
      </c>
      <c r="AM13" s="7">
        <v>42958</v>
      </c>
      <c r="AN13" s="170">
        <v>2396</v>
      </c>
      <c r="AO13" s="15">
        <v>5200</v>
      </c>
      <c r="AP13" s="15">
        <v>3009</v>
      </c>
      <c r="AQ13" s="15">
        <v>750</v>
      </c>
    </row>
    <row r="14" spans="2:43" x14ac:dyDescent="0.25">
      <c r="B14" s="7">
        <v>42837</v>
      </c>
      <c r="C14" s="15">
        <v>4831.7820011579333</v>
      </c>
      <c r="D14" s="15">
        <v>11808.462873831875</v>
      </c>
      <c r="E14" s="15">
        <v>7043.1510264122271</v>
      </c>
      <c r="F14" s="15">
        <v>2008.2619268170067</v>
      </c>
      <c r="K14" s="7">
        <v>42867</v>
      </c>
      <c r="L14" s="15">
        <v>3452.735528503018</v>
      </c>
      <c r="M14" s="15">
        <v>8173.7748108004507</v>
      </c>
      <c r="N14" s="15">
        <v>4453.6831243343158</v>
      </c>
      <c r="O14" s="15">
        <v>1188.2798741789547</v>
      </c>
      <c r="U14" s="7">
        <v>42898</v>
      </c>
      <c r="V14" s="15">
        <v>3103.2429140820595</v>
      </c>
      <c r="W14" s="15">
        <v>5296.0652049408964</v>
      </c>
      <c r="X14" s="15">
        <v>3532.4174067069703</v>
      </c>
      <c r="Y14" s="15">
        <v>774.26065048489306</v>
      </c>
      <c r="AE14" s="7">
        <v>42928</v>
      </c>
      <c r="AF14" s="15">
        <v>2665.8373913986743</v>
      </c>
      <c r="AG14" s="15">
        <v>5145.5524763164012</v>
      </c>
      <c r="AH14" s="15">
        <v>3492.4608701787552</v>
      </c>
      <c r="AI14" s="15">
        <v>769.15815985086624</v>
      </c>
      <c r="AM14" s="7">
        <v>42959</v>
      </c>
      <c r="AN14" s="170">
        <v>2396</v>
      </c>
      <c r="AO14" s="15">
        <v>5200</v>
      </c>
      <c r="AP14" s="15">
        <v>3009</v>
      </c>
      <c r="AQ14" s="15">
        <v>750</v>
      </c>
    </row>
    <row r="15" spans="2:43" x14ac:dyDescent="0.25">
      <c r="B15" s="7">
        <v>42838</v>
      </c>
      <c r="C15" s="15">
        <v>4812.7368563497694</v>
      </c>
      <c r="D15" s="15">
        <v>11536.449987495202</v>
      </c>
      <c r="E15" s="15">
        <v>6838.2137245525137</v>
      </c>
      <c r="F15" s="15">
        <v>2064.1427557050738</v>
      </c>
      <c r="K15" s="7">
        <v>42868</v>
      </c>
      <c r="L15" s="15">
        <v>2992.5853971126071</v>
      </c>
      <c r="M15" s="15">
        <v>8103.8461263425788</v>
      </c>
      <c r="N15" s="15">
        <v>4046.0513829458296</v>
      </c>
      <c r="O15" s="15">
        <v>1023.0144966349219</v>
      </c>
      <c r="U15" s="7">
        <v>42899</v>
      </c>
      <c r="V15" s="15">
        <v>3164.0938704819173</v>
      </c>
      <c r="W15" s="15">
        <v>5444.7990337792417</v>
      </c>
      <c r="X15" s="15">
        <v>3524.4988928870443</v>
      </c>
      <c r="Y15" s="15">
        <v>822.3291450456195</v>
      </c>
      <c r="AE15" s="7">
        <v>42929</v>
      </c>
      <c r="AF15" s="15">
        <v>2618.8353663755884</v>
      </c>
      <c r="AG15" s="15">
        <v>5271.9774103111213</v>
      </c>
      <c r="AH15" s="15">
        <v>3331.0122161716617</v>
      </c>
      <c r="AI15" s="15">
        <v>806.9674730362151</v>
      </c>
      <c r="AM15" s="7">
        <v>42960</v>
      </c>
      <c r="AN15" s="170">
        <v>2396</v>
      </c>
      <c r="AO15" s="15">
        <v>5200</v>
      </c>
      <c r="AP15" s="15">
        <v>3009</v>
      </c>
      <c r="AQ15" s="15">
        <v>750</v>
      </c>
    </row>
    <row r="16" spans="2:43" x14ac:dyDescent="0.25">
      <c r="B16" s="7">
        <v>42839</v>
      </c>
      <c r="C16" s="15">
        <v>4770.1377281979858</v>
      </c>
      <c r="D16" s="15">
        <v>11738.474596331347</v>
      </c>
      <c r="E16" s="15">
        <v>6671.7351764438627</v>
      </c>
      <c r="F16" s="15">
        <v>2012.9854629248746</v>
      </c>
      <c r="K16" s="7">
        <v>42869</v>
      </c>
      <c r="L16" s="15">
        <v>3214.9733290474569</v>
      </c>
      <c r="M16" s="15">
        <v>7587.612914746046</v>
      </c>
      <c r="N16" s="15">
        <v>4073.7555509780359</v>
      </c>
      <c r="O16" s="15">
        <v>907.70557039334653</v>
      </c>
      <c r="U16" s="7">
        <v>42900</v>
      </c>
      <c r="V16" s="15">
        <v>3093.6333909547748</v>
      </c>
      <c r="W16" s="15">
        <v>6066.0886394025147</v>
      </c>
      <c r="X16" s="15">
        <v>3564.138412702242</v>
      </c>
      <c r="Y16" s="15">
        <v>819.82421967125947</v>
      </c>
      <c r="AE16" s="7">
        <v>42930</v>
      </c>
      <c r="AF16" s="15">
        <v>2563.8836190536986</v>
      </c>
      <c r="AG16" s="15">
        <v>5599.3664799871185</v>
      </c>
      <c r="AH16" s="15">
        <v>3139.3843813390417</v>
      </c>
      <c r="AI16" s="15">
        <v>756.52034687043374</v>
      </c>
      <c r="AM16" s="7">
        <v>42961</v>
      </c>
      <c r="AN16" s="170">
        <v>2396</v>
      </c>
      <c r="AO16" s="15">
        <v>5200</v>
      </c>
      <c r="AP16" s="15">
        <v>3009</v>
      </c>
      <c r="AQ16" s="15">
        <v>750</v>
      </c>
    </row>
    <row r="17" spans="2:43" x14ac:dyDescent="0.25">
      <c r="B17" s="7">
        <v>42840</v>
      </c>
      <c r="C17" s="15">
        <v>4180.7025776929704</v>
      </c>
      <c r="D17" s="15">
        <v>11684.544985133249</v>
      </c>
      <c r="E17" s="15">
        <v>5966.1803685619197</v>
      </c>
      <c r="F17" s="15">
        <v>1845.2421006659165</v>
      </c>
      <c r="K17" s="7">
        <v>42870</v>
      </c>
      <c r="L17" s="15">
        <v>3549.9438937576115</v>
      </c>
      <c r="M17" s="15">
        <v>6982.517640730638</v>
      </c>
      <c r="N17" s="15">
        <v>4505.1305390943398</v>
      </c>
      <c r="O17" s="15">
        <v>1053.7519464589975</v>
      </c>
      <c r="U17" s="7">
        <v>42901</v>
      </c>
      <c r="V17" s="15">
        <v>3047.2695237961789</v>
      </c>
      <c r="W17" s="15">
        <v>6192.8700560912739</v>
      </c>
      <c r="X17" s="15">
        <v>3402.744873739116</v>
      </c>
      <c r="Y17" s="15">
        <v>857.64174587132675</v>
      </c>
      <c r="AE17" s="7">
        <v>42931</v>
      </c>
      <c r="AF17" s="15">
        <v>2147.5908340874121</v>
      </c>
      <c r="AG17" s="15">
        <v>5498.5060817136928</v>
      </c>
      <c r="AH17" s="15">
        <v>2731.5320358493859</v>
      </c>
      <c r="AI17" s="15">
        <v>669.99838227018563</v>
      </c>
      <c r="AM17" s="7">
        <v>42962</v>
      </c>
      <c r="AN17" s="170">
        <v>2396</v>
      </c>
      <c r="AO17" s="15">
        <v>5200</v>
      </c>
      <c r="AP17" s="15">
        <v>3009</v>
      </c>
      <c r="AQ17" s="15">
        <v>750</v>
      </c>
    </row>
    <row r="18" spans="2:43" x14ac:dyDescent="0.25">
      <c r="B18" s="7">
        <v>42841</v>
      </c>
      <c r="C18" s="15">
        <v>4354.911293163138</v>
      </c>
      <c r="D18" s="15">
        <v>10779.206631652916</v>
      </c>
      <c r="E18" s="15">
        <v>5951.9220388403883</v>
      </c>
      <c r="F18" s="15">
        <v>1732.5332951071505</v>
      </c>
      <c r="K18" s="7">
        <v>42871</v>
      </c>
      <c r="L18" s="15">
        <v>3617.9895777830725</v>
      </c>
      <c r="M18" s="15">
        <v>7132.4346971322257</v>
      </c>
      <c r="N18" s="15">
        <v>4430.7825207942342</v>
      </c>
      <c r="O18" s="15">
        <v>1100.4034774216345</v>
      </c>
      <c r="U18" s="7">
        <v>42902</v>
      </c>
      <c r="V18" s="15">
        <v>2992.7383767581887</v>
      </c>
      <c r="W18" s="15">
        <v>6520.4613542403531</v>
      </c>
      <c r="X18" s="15">
        <v>3211.1522988731535</v>
      </c>
      <c r="Y18" s="15">
        <v>807.1994137286797</v>
      </c>
      <c r="AE18" s="7">
        <v>42932</v>
      </c>
      <c r="AF18" s="15">
        <v>2346.3588375211384</v>
      </c>
      <c r="AG18" s="15">
        <v>4982.0414388982808</v>
      </c>
      <c r="AH18" s="15">
        <v>2759.1024982094186</v>
      </c>
      <c r="AI18" s="15">
        <v>594.53073477519683</v>
      </c>
      <c r="AM18" s="7">
        <v>42963</v>
      </c>
      <c r="AN18" s="170">
        <v>2396</v>
      </c>
      <c r="AO18" s="15">
        <v>5200</v>
      </c>
      <c r="AP18" s="15">
        <v>3009</v>
      </c>
      <c r="AQ18" s="15">
        <v>750</v>
      </c>
    </row>
    <row r="19" spans="2:43" x14ac:dyDescent="0.25">
      <c r="B19" s="7">
        <v>42842</v>
      </c>
      <c r="C19" s="15">
        <v>4714.1020245296349</v>
      </c>
      <c r="D19" s="15">
        <v>10040.730992539466</v>
      </c>
      <c r="E19" s="15">
        <v>6679.2370468096369</v>
      </c>
      <c r="F19" s="15">
        <v>1879.7489375445614</v>
      </c>
      <c r="K19" s="7">
        <v>42872</v>
      </c>
      <c r="L19" s="15">
        <v>3552.1694279245476</v>
      </c>
      <c r="M19" s="15">
        <v>7754.4382038490621</v>
      </c>
      <c r="N19" s="15">
        <v>4488.9758477848773</v>
      </c>
      <c r="O19" s="15">
        <v>1100.2946059535498</v>
      </c>
      <c r="U19" s="7">
        <v>42903</v>
      </c>
      <c r="V19" s="15">
        <v>2576.72280313479</v>
      </c>
      <c r="W19" s="15">
        <v>6419.7156789517849</v>
      </c>
      <c r="X19" s="15">
        <v>2803.3225103945379</v>
      </c>
      <c r="Y19" s="15">
        <v>720.68023340195509</v>
      </c>
      <c r="AE19" s="7">
        <v>42933</v>
      </c>
      <c r="AF19" s="15">
        <v>2672.3065577494121</v>
      </c>
      <c r="AG19" s="15">
        <v>4374.4777326120366</v>
      </c>
      <c r="AH19" s="15">
        <v>3459.3251415756895</v>
      </c>
      <c r="AI19" s="15">
        <v>723.49636591716114</v>
      </c>
      <c r="AM19" s="7">
        <v>42964</v>
      </c>
      <c r="AN19" s="170">
        <v>2396</v>
      </c>
      <c r="AO19" s="15">
        <v>5200</v>
      </c>
      <c r="AP19" s="15">
        <v>3009</v>
      </c>
      <c r="AQ19" s="15">
        <v>750</v>
      </c>
    </row>
    <row r="20" spans="2:43" x14ac:dyDescent="0.25">
      <c r="B20" s="7">
        <v>42843</v>
      </c>
      <c r="C20" s="15">
        <v>4613.9968001355764</v>
      </c>
      <c r="D20" s="15">
        <v>10234.827968779047</v>
      </c>
      <c r="E20" s="15">
        <v>6680.1953959733182</v>
      </c>
      <c r="F20" s="15">
        <v>1843.8175418539963</v>
      </c>
      <c r="K20" s="7">
        <v>42873</v>
      </c>
      <c r="L20" s="15">
        <v>3508.8765927909535</v>
      </c>
      <c r="M20" s="15">
        <v>7551.0771150544551</v>
      </c>
      <c r="N20" s="15">
        <v>4329.3510110009865</v>
      </c>
      <c r="O20" s="15">
        <v>1138.5951673306101</v>
      </c>
      <c r="U20" s="7">
        <v>42904</v>
      </c>
      <c r="V20" s="15">
        <v>2775.673512409634</v>
      </c>
      <c r="W20" s="15">
        <v>5903.3161176363592</v>
      </c>
      <c r="X20" s="15">
        <v>2830.9074033526908</v>
      </c>
      <c r="Y20" s="15">
        <v>645.21420691772255</v>
      </c>
      <c r="AE20" s="7">
        <v>42934</v>
      </c>
      <c r="AF20" s="15">
        <v>2733.5899509736055</v>
      </c>
      <c r="AG20" s="15">
        <v>4523.3099112118634</v>
      </c>
      <c r="AH20" s="15">
        <v>3451.8612068932698</v>
      </c>
      <c r="AI20" s="15">
        <v>771.59784378398012</v>
      </c>
      <c r="AM20" s="7">
        <v>42965</v>
      </c>
      <c r="AN20" s="170">
        <v>2396</v>
      </c>
      <c r="AO20" s="15">
        <v>5200</v>
      </c>
      <c r="AP20" s="15">
        <v>3009</v>
      </c>
      <c r="AQ20" s="15">
        <v>750</v>
      </c>
    </row>
    <row r="21" spans="2:43" x14ac:dyDescent="0.25">
      <c r="B21" s="7">
        <v>42844</v>
      </c>
      <c r="C21" s="15">
        <v>4522.3589284739683</v>
      </c>
      <c r="D21" s="15">
        <v>10865.718759005256</v>
      </c>
      <c r="E21" s="15">
        <v>6427.9758901433079</v>
      </c>
      <c r="F21" s="15">
        <v>1805.7474616446932</v>
      </c>
      <c r="K21" s="7">
        <v>42874</v>
      </c>
      <c r="L21" s="15">
        <v>3456.3679394578921</v>
      </c>
      <c r="M21" s="15">
        <v>7701.852524926886</v>
      </c>
      <c r="N21" s="15">
        <v>4140.5611212895892</v>
      </c>
      <c r="O21" s="15">
        <v>1088.6914534409077</v>
      </c>
      <c r="U21" s="7">
        <v>42905</v>
      </c>
      <c r="V21" s="15">
        <v>3101.7416513192984</v>
      </c>
      <c r="W21" s="15">
        <v>5295.7893316238569</v>
      </c>
      <c r="X21" s="15">
        <v>3531.1392785171897</v>
      </c>
      <c r="Y21" s="15">
        <v>774.1807806941938</v>
      </c>
      <c r="AE21" s="7">
        <v>42935</v>
      </c>
      <c r="AF21" s="15">
        <v>2663.4144840816248</v>
      </c>
      <c r="AG21" s="15">
        <v>5144.6553984655739</v>
      </c>
      <c r="AH21" s="15">
        <v>3491.7915102411393</v>
      </c>
      <c r="AI21" s="15">
        <v>769.11194546809998</v>
      </c>
      <c r="AM21" s="7">
        <v>42966</v>
      </c>
      <c r="AN21" s="170">
        <v>2396</v>
      </c>
      <c r="AO21" s="15">
        <v>5200</v>
      </c>
      <c r="AP21" s="15">
        <v>3009</v>
      </c>
      <c r="AQ21" s="15">
        <v>750</v>
      </c>
    </row>
    <row r="22" spans="2:43" x14ac:dyDescent="0.25">
      <c r="B22" s="7">
        <v>42845</v>
      </c>
      <c r="C22" s="15">
        <v>4512.0463989094214</v>
      </c>
      <c r="D22" s="15">
        <v>10610.247117762954</v>
      </c>
      <c r="E22" s="15">
        <v>6219.7871884515789</v>
      </c>
      <c r="F22" s="15">
        <v>1861.8587899935967</v>
      </c>
      <c r="K22" s="7">
        <v>42875</v>
      </c>
      <c r="L22" s="15">
        <v>3041.6855576743301</v>
      </c>
      <c r="M22" s="15">
        <v>7630.5677998269312</v>
      </c>
      <c r="N22" s="15">
        <v>3734.2478220637063</v>
      </c>
      <c r="O22" s="15">
        <v>1002.4127427302869</v>
      </c>
      <c r="U22" s="7">
        <v>42906</v>
      </c>
      <c r="V22" s="15">
        <v>3163.1044106914987</v>
      </c>
      <c r="W22" s="15">
        <v>5444.6424548305604</v>
      </c>
      <c r="X22" s="15">
        <v>3523.6812497673473</v>
      </c>
      <c r="Y22" s="15">
        <v>822.28280702977099</v>
      </c>
      <c r="AE22" s="7">
        <v>42936</v>
      </c>
      <c r="AF22" s="15">
        <v>2617.2384644782214</v>
      </c>
      <c r="AG22" s="15">
        <v>5271.4685044571042</v>
      </c>
      <c r="AH22" s="15">
        <v>3330.5840011831706</v>
      </c>
      <c r="AI22" s="15">
        <v>806.94058581115451</v>
      </c>
      <c r="AM22" s="7">
        <v>42967</v>
      </c>
      <c r="AN22" s="170">
        <v>2396</v>
      </c>
      <c r="AO22" s="15">
        <v>5200</v>
      </c>
      <c r="AP22" s="15">
        <v>3009</v>
      </c>
      <c r="AQ22" s="15">
        <v>750</v>
      </c>
    </row>
    <row r="23" spans="2:43" x14ac:dyDescent="0.25">
      <c r="B23" s="7">
        <v>42846</v>
      </c>
      <c r="C23" s="15">
        <v>4475.0450212485202</v>
      </c>
      <c r="D23" s="15">
        <v>10797.243694287807</v>
      </c>
      <c r="E23" s="15">
        <v>6053.549975939839</v>
      </c>
      <c r="F23" s="15">
        <v>1811.0326731383575</v>
      </c>
      <c r="K23" s="7">
        <v>42876</v>
      </c>
      <c r="L23" s="15">
        <v>3096.7403617422224</v>
      </c>
      <c r="M23" s="15">
        <v>7113.3664164853799</v>
      </c>
      <c r="N23" s="15">
        <v>3762.8486166005482</v>
      </c>
      <c r="O23" s="15">
        <v>927.10721500532304</v>
      </c>
      <c r="U23" s="7">
        <v>42907</v>
      </c>
      <c r="V23" s="15">
        <v>3092.9812528380889</v>
      </c>
      <c r="W23" s="15">
        <v>6065.9998238101234</v>
      </c>
      <c r="X23" s="15">
        <v>3563.6153313645245</v>
      </c>
      <c r="Y23" s="15">
        <v>819.79722774890797</v>
      </c>
      <c r="AE23" s="7">
        <v>42937</v>
      </c>
      <c r="AF23" s="15">
        <v>2562.8311249483932</v>
      </c>
      <c r="AG23" s="15">
        <v>5599.0777813336153</v>
      </c>
      <c r="AH23" s="15">
        <v>3139.1104359471283</v>
      </c>
      <c r="AI23" s="15">
        <v>756.50470632985309</v>
      </c>
      <c r="AM23" s="7">
        <v>42968</v>
      </c>
      <c r="AN23" s="170">
        <v>2396</v>
      </c>
      <c r="AO23" s="15">
        <v>5200</v>
      </c>
      <c r="AP23" s="15">
        <v>3009</v>
      </c>
      <c r="AQ23" s="15">
        <v>750</v>
      </c>
    </row>
    <row r="24" spans="2:43" x14ac:dyDescent="0.25">
      <c r="B24" s="7">
        <v>42847</v>
      </c>
      <c r="C24" s="15">
        <v>3899.120683308764</v>
      </c>
      <c r="D24" s="15">
        <v>10738.08366415921</v>
      </c>
      <c r="E24" s="15">
        <v>5652.7929697129985</v>
      </c>
      <c r="F24" s="15">
        <v>1644.6708792975082</v>
      </c>
      <c r="K24" s="7">
        <v>42877</v>
      </c>
      <c r="L24" s="15">
        <v>3377.9429059208151</v>
      </c>
      <c r="M24" s="15">
        <v>6507.7487512049402</v>
      </c>
      <c r="N24" s="15">
        <v>4463.7228339973681</v>
      </c>
      <c r="O24" s="15">
        <v>978.03638144352396</v>
      </c>
      <c r="U24" s="7">
        <v>42908</v>
      </c>
      <c r="V24" s="15">
        <v>3046.8397093379731</v>
      </c>
      <c r="W24" s="15">
        <v>6192.8196702197984</v>
      </c>
      <c r="X24" s="15">
        <v>3402.4102393961698</v>
      </c>
      <c r="Y24" s="15">
        <v>857.62605369461426</v>
      </c>
      <c r="AE24" s="7">
        <v>42938</v>
      </c>
      <c r="AF24" s="15">
        <v>2146.8971509979224</v>
      </c>
      <c r="AG24" s="15">
        <v>5498.342305030983</v>
      </c>
      <c r="AH24" s="15">
        <v>2731.3567825761588</v>
      </c>
      <c r="AI24" s="15">
        <v>669.98928338489668</v>
      </c>
      <c r="AM24" s="7">
        <v>42969</v>
      </c>
      <c r="AN24" s="170">
        <v>2396</v>
      </c>
      <c r="AO24" s="15">
        <v>5200</v>
      </c>
      <c r="AP24" s="15">
        <v>3009</v>
      </c>
      <c r="AQ24" s="15">
        <v>750</v>
      </c>
    </row>
    <row r="25" spans="2:43" x14ac:dyDescent="0.25">
      <c r="B25" s="7">
        <v>42848</v>
      </c>
      <c r="C25" s="15">
        <v>4071.2086648335835</v>
      </c>
      <c r="D25" s="15">
        <v>9848.7069983802412</v>
      </c>
      <c r="E25" s="15">
        <v>5393.4196584655847</v>
      </c>
      <c r="F25" s="15">
        <v>1531.1848592749852</v>
      </c>
      <c r="K25" s="7">
        <v>42878</v>
      </c>
      <c r="L25" s="15">
        <v>3462.9214140580816</v>
      </c>
      <c r="M25" s="15">
        <v>6657.3658353958745</v>
      </c>
      <c r="N25" s="15">
        <v>4193.7580781892457</v>
      </c>
      <c r="O25" s="15">
        <v>985.94637944771296</v>
      </c>
      <c r="U25" s="7">
        <v>42909</v>
      </c>
      <c r="V25" s="15">
        <v>2992.4550924910764</v>
      </c>
      <c r="W25" s="15">
        <v>6520.4327708873479</v>
      </c>
      <c r="X25" s="15">
        <v>3210.9382204641624</v>
      </c>
      <c r="Y25" s="15">
        <v>807.19028218282449</v>
      </c>
      <c r="AE25" s="7">
        <v>42939</v>
      </c>
      <c r="AF25" s="15">
        <v>2345.9016413941363</v>
      </c>
      <c r="AG25" s="15">
        <v>4981.9485295567565</v>
      </c>
      <c r="AH25" s="15">
        <v>2758.9903820336517</v>
      </c>
      <c r="AI25" s="15">
        <v>594.52544167985729</v>
      </c>
      <c r="AM25" s="7">
        <v>42970</v>
      </c>
      <c r="AN25" s="170">
        <v>2396</v>
      </c>
      <c r="AO25" s="15">
        <v>5200</v>
      </c>
      <c r="AP25" s="15">
        <v>3009</v>
      </c>
      <c r="AQ25" s="15">
        <v>750</v>
      </c>
    </row>
    <row r="26" spans="2:43" x14ac:dyDescent="0.25">
      <c r="B26" s="7">
        <v>42849</v>
      </c>
      <c r="C26" s="15">
        <v>4430.3754306667843</v>
      </c>
      <c r="D26" s="15">
        <v>9097.3578860483067</v>
      </c>
      <c r="E26" s="15">
        <v>6042.9743154802864</v>
      </c>
      <c r="F26" s="15">
        <v>1678.3955122092038</v>
      </c>
      <c r="K26" s="7">
        <v>42879</v>
      </c>
      <c r="L26" s="15">
        <v>3401.7360673128633</v>
      </c>
      <c r="M26" s="15">
        <v>7279.1996590722756</v>
      </c>
      <c r="N26" s="15">
        <v>4163.8538347879166</v>
      </c>
      <c r="O26" s="15">
        <v>1000.5528704347034</v>
      </c>
      <c r="U26" s="7">
        <v>42910</v>
      </c>
      <c r="V26" s="15">
        <v>2576.5360947203462</v>
      </c>
      <c r="W26" s="15">
        <v>6419.6994637940406</v>
      </c>
      <c r="X26" s="15">
        <v>2803.1855563226209</v>
      </c>
      <c r="Y26" s="15">
        <v>720.67492204835071</v>
      </c>
      <c r="AE26" s="7">
        <v>42940</v>
      </c>
      <c r="AF26" s="15">
        <v>2672.0052266347966</v>
      </c>
      <c r="AG26" s="15">
        <v>4374.4250258066477</v>
      </c>
      <c r="AH26" s="15">
        <v>3459.2534165993497</v>
      </c>
      <c r="AI26" s="15">
        <v>723.49328671296848</v>
      </c>
      <c r="AM26" s="7">
        <v>42971</v>
      </c>
      <c r="AN26" s="170">
        <v>2396</v>
      </c>
      <c r="AO26" s="15">
        <v>5200</v>
      </c>
      <c r="AP26" s="15">
        <v>3009</v>
      </c>
      <c r="AQ26" s="15">
        <v>750</v>
      </c>
    </row>
    <row r="27" spans="2:43" x14ac:dyDescent="0.25">
      <c r="B27" s="7">
        <v>42850</v>
      </c>
      <c r="C27" s="15">
        <v>4339.8849972067073</v>
      </c>
      <c r="D27" s="15">
        <v>9287.1115311030426</v>
      </c>
      <c r="E27" s="15">
        <v>6059.5491554454602</v>
      </c>
      <c r="F27" s="15">
        <v>1725.6949798841431</v>
      </c>
      <c r="K27" s="7">
        <v>42880</v>
      </c>
      <c r="L27" s="15">
        <v>3362.3110223029935</v>
      </c>
      <c r="M27" s="15">
        <v>7406.2839822940359</v>
      </c>
      <c r="N27" s="15">
        <v>4020.181751475589</v>
      </c>
      <c r="O27" s="15">
        <v>1036.8774233258391</v>
      </c>
      <c r="U27" s="7">
        <v>42911</v>
      </c>
      <c r="V27" s="15">
        <v>2775.5504556921564</v>
      </c>
      <c r="W27" s="15">
        <v>5903.3069188967602</v>
      </c>
      <c r="X27" s="15">
        <v>2830.819788627754</v>
      </c>
      <c r="Y27" s="15">
        <v>645.2111168822812</v>
      </c>
      <c r="AE27" s="7">
        <v>42941</v>
      </c>
      <c r="AF27" s="15">
        <v>2733.3913481524683</v>
      </c>
      <c r="AG27" s="15">
        <v>4523.2800110178832</v>
      </c>
      <c r="AH27" s="15">
        <v>3451.8153217014587</v>
      </c>
      <c r="AI27" s="15">
        <v>771.59605250289837</v>
      </c>
      <c r="AM27" s="7">
        <v>42972</v>
      </c>
      <c r="AN27" s="170">
        <v>2396</v>
      </c>
      <c r="AO27" s="15">
        <v>5200</v>
      </c>
      <c r="AP27" s="15">
        <v>3009</v>
      </c>
      <c r="AQ27" s="15">
        <v>750</v>
      </c>
    </row>
    <row r="28" spans="2:43" x14ac:dyDescent="0.25">
      <c r="B28" s="7">
        <v>42851</v>
      </c>
      <c r="C28" s="15">
        <v>4243.5823599148189</v>
      </c>
      <c r="D28" s="15">
        <v>9544.6352601284143</v>
      </c>
      <c r="E28" s="15">
        <v>6105.517882834768</v>
      </c>
      <c r="F28" s="15">
        <v>1643.855761990837</v>
      </c>
      <c r="K28" s="7">
        <v>42881</v>
      </c>
      <c r="L28" s="15">
        <v>3312.2502640754828</v>
      </c>
      <c r="M28" s="15">
        <v>7413.1260342891674</v>
      </c>
      <c r="N28" s="15">
        <v>3829.6334780148982</v>
      </c>
      <c r="O28" s="15">
        <v>988.80430406797313</v>
      </c>
      <c r="U28" s="7">
        <v>42912</v>
      </c>
      <c r="V28" s="15">
        <v>3101.6605464812465</v>
      </c>
      <c r="W28" s="15">
        <v>5295.7841132441572</v>
      </c>
      <c r="X28" s="15">
        <v>3531.0832280501263</v>
      </c>
      <c r="Y28" s="15">
        <v>774.1789831715023</v>
      </c>
      <c r="AE28" s="7">
        <v>42942</v>
      </c>
      <c r="AF28" s="15">
        <v>2663.283587938975</v>
      </c>
      <c r="AG28" s="15">
        <v>5144.6384362992367</v>
      </c>
      <c r="AH28" s="15">
        <v>3491.7621557410048</v>
      </c>
      <c r="AI28" s="15">
        <v>769.11090341295562</v>
      </c>
      <c r="AM28" s="7">
        <v>42973</v>
      </c>
      <c r="AN28" s="170">
        <v>2396</v>
      </c>
      <c r="AO28" s="15">
        <v>5200</v>
      </c>
      <c r="AP28" s="15">
        <v>3009</v>
      </c>
      <c r="AQ28" s="15">
        <v>750</v>
      </c>
    </row>
    <row r="29" spans="2:43" x14ac:dyDescent="0.25">
      <c r="B29" s="7">
        <v>42852</v>
      </c>
      <c r="C29" s="15">
        <v>4231.5661689534518</v>
      </c>
      <c r="D29" s="15">
        <v>9521.8464529344019</v>
      </c>
      <c r="E29" s="15">
        <v>5662.7377419407876</v>
      </c>
      <c r="F29" s="15">
        <v>1643.1195174105374</v>
      </c>
      <c r="K29" s="7">
        <v>42882</v>
      </c>
      <c r="L29" s="15">
        <v>2899.1938761679507</v>
      </c>
      <c r="M29" s="15">
        <v>7129.9740453522509</v>
      </c>
      <c r="N29" s="15">
        <v>3424.1746999573902</v>
      </c>
      <c r="O29" s="15">
        <v>902.74762975396493</v>
      </c>
      <c r="U29" s="7">
        <v>42913</v>
      </c>
      <c r="V29" s="15">
        <v>3163.0509557083801</v>
      </c>
      <c r="W29" s="15">
        <v>5444.6394944811182</v>
      </c>
      <c r="X29" s="15">
        <v>3523.645392154428</v>
      </c>
      <c r="Y29" s="15">
        <v>822.28176132687463</v>
      </c>
      <c r="AE29" s="7">
        <v>42943</v>
      </c>
      <c r="AF29" s="15">
        <v>2617.1521927925401</v>
      </c>
      <c r="AG29" s="15">
        <v>5271.4588819413766</v>
      </c>
      <c r="AH29" s="15">
        <v>3330.5652219944145</v>
      </c>
      <c r="AI29" s="15">
        <v>806.9399796098985</v>
      </c>
      <c r="AM29" s="7">
        <v>42974</v>
      </c>
      <c r="AN29" s="170">
        <v>2396</v>
      </c>
      <c r="AO29" s="15">
        <v>5200</v>
      </c>
      <c r="AP29" s="15">
        <v>3009</v>
      </c>
      <c r="AQ29" s="15">
        <v>750</v>
      </c>
    </row>
    <row r="30" spans="2:43" x14ac:dyDescent="0.25">
      <c r="B30" s="7">
        <v>42853</v>
      </c>
      <c r="C30" s="15">
        <v>4193.2711299477814</v>
      </c>
      <c r="D30" s="15">
        <v>9888.5586156563513</v>
      </c>
      <c r="E30" s="15">
        <v>5417.0162856781171</v>
      </c>
      <c r="F30" s="15">
        <v>1610.8453565533418</v>
      </c>
      <c r="K30" s="7">
        <v>42883</v>
      </c>
      <c r="L30" s="15">
        <v>3100.0933430900341</v>
      </c>
      <c r="M30" s="15">
        <v>6641.3377934282289</v>
      </c>
      <c r="N30" s="15">
        <v>3452.9946701150998</v>
      </c>
      <c r="O30" s="15">
        <v>827.80966903485069</v>
      </c>
      <c r="U30" s="7">
        <v>42914</v>
      </c>
      <c r="V30" s="15">
        <v>3092.9460214599267</v>
      </c>
      <c r="W30" s="15">
        <v>6065.9981444250352</v>
      </c>
      <c r="X30" s="15">
        <v>3563.5923918875151</v>
      </c>
      <c r="Y30" s="15">
        <v>819.79661943036695</v>
      </c>
      <c r="AE30" s="7">
        <v>42944</v>
      </c>
      <c r="AF30" s="15">
        <v>2562.7742645734452</v>
      </c>
      <c r="AG30" s="15">
        <v>5599.0723225492193</v>
      </c>
      <c r="AH30" s="15">
        <v>3139.0984221867602</v>
      </c>
      <c r="AI30" s="15">
        <v>756.50435368027661</v>
      </c>
      <c r="AM30" s="7">
        <v>42975</v>
      </c>
      <c r="AN30" s="170">
        <v>2396</v>
      </c>
      <c r="AO30" s="15">
        <v>5200</v>
      </c>
      <c r="AP30" s="15">
        <v>3009</v>
      </c>
      <c r="AQ30" s="15">
        <v>750</v>
      </c>
    </row>
    <row r="31" spans="2:43" x14ac:dyDescent="0.25">
      <c r="B31" s="7">
        <v>42854</v>
      </c>
      <c r="C31" s="15">
        <v>3788.7542123907056</v>
      </c>
      <c r="D31" s="15">
        <v>9793.2734578793988</v>
      </c>
      <c r="E31" s="15">
        <v>5032.1720006759688</v>
      </c>
      <c r="F31" s="15">
        <v>1523.4131026727782</v>
      </c>
      <c r="K31" s="7">
        <v>42884</v>
      </c>
      <c r="L31" s="15">
        <v>3427.4460779801411</v>
      </c>
      <c r="M31" s="15">
        <v>6031.8472102350097</v>
      </c>
      <c r="N31" s="15">
        <v>4154.0632860365113</v>
      </c>
      <c r="O31" s="15">
        <v>957.01018049226423</v>
      </c>
      <c r="U31" s="7">
        <v>42915</v>
      </c>
      <c r="V31" s="15">
        <v>3046.8164888646925</v>
      </c>
      <c r="W31" s="15">
        <v>6192.8187175166413</v>
      </c>
      <c r="X31" s="15">
        <v>3402.3955641413763</v>
      </c>
      <c r="Y31" s="15">
        <v>857.62569981199317</v>
      </c>
      <c r="AE31" s="7">
        <v>42945</v>
      </c>
      <c r="AF31" s="15">
        <v>2146.8596751770465</v>
      </c>
      <c r="AG31" s="15">
        <v>5498.3392083016106</v>
      </c>
      <c r="AH31" s="15">
        <v>2731.3490969173131</v>
      </c>
      <c r="AI31" s="15">
        <v>669.98907823575496</v>
      </c>
      <c r="AM31" s="7">
        <v>42976</v>
      </c>
      <c r="AN31" s="170">
        <v>2396</v>
      </c>
      <c r="AO31" s="15">
        <v>5200</v>
      </c>
      <c r="AP31" s="15">
        <v>3009</v>
      </c>
      <c r="AQ31" s="15">
        <v>750</v>
      </c>
    </row>
    <row r="32" spans="2:43" ht="15" x14ac:dyDescent="0.4">
      <c r="B32" s="7">
        <v>42855</v>
      </c>
      <c r="C32" s="167">
        <v>3832.7471105343229</v>
      </c>
      <c r="D32" s="167">
        <v>8921.4131469214171</v>
      </c>
      <c r="E32" s="167">
        <v>5064.9294477699186</v>
      </c>
      <c r="F32" s="167">
        <v>1369.1702424192197</v>
      </c>
      <c r="K32" s="7">
        <v>42885</v>
      </c>
      <c r="L32" s="25">
        <v>3489.6554705104554</v>
      </c>
      <c r="M32" s="25">
        <v>6181.9771217904326</v>
      </c>
      <c r="N32" s="25">
        <v>4147.1328397346333</v>
      </c>
      <c r="O32" s="25">
        <v>1005.2690169235327</v>
      </c>
      <c r="U32" s="7">
        <v>42916</v>
      </c>
      <c r="V32" s="25">
        <v>2992.4397882251769</v>
      </c>
      <c r="W32" s="25">
        <v>6520.4322304256557</v>
      </c>
      <c r="X32" s="25">
        <v>3210.9288321462373</v>
      </c>
      <c r="Y32" s="25">
        <v>807.19007631675515</v>
      </c>
      <c r="AE32" s="7">
        <v>42946</v>
      </c>
      <c r="AF32" s="25">
        <v>2345.8769416423042</v>
      </c>
      <c r="AG32" s="25">
        <v>4981.9467728043182</v>
      </c>
      <c r="AH32" s="25">
        <v>2758.9854652257509</v>
      </c>
      <c r="AI32" s="25">
        <v>594.52532233708052</v>
      </c>
      <c r="AM32" s="7">
        <v>42977</v>
      </c>
      <c r="AN32" s="170">
        <v>2396</v>
      </c>
      <c r="AO32" s="15">
        <v>5200</v>
      </c>
      <c r="AP32" s="15">
        <v>3009</v>
      </c>
      <c r="AQ32" s="15">
        <v>750</v>
      </c>
    </row>
    <row r="33" spans="2:45" ht="15" x14ac:dyDescent="0.4">
      <c r="B33" t="s">
        <v>181</v>
      </c>
      <c r="C33" s="12">
        <f>SUM(C3:C32)</f>
        <v>143236.03660590056</v>
      </c>
      <c r="D33" s="12">
        <f t="shared" ref="D33:F33" si="0">SUM(D3:D32)</f>
        <v>333951.88847510028</v>
      </c>
      <c r="E33" s="12">
        <f t="shared" si="0"/>
        <v>198584.36422255589</v>
      </c>
      <c r="F33" s="12">
        <f t="shared" si="0"/>
        <v>57531.941405687336</v>
      </c>
      <c r="G33" t="s">
        <v>182</v>
      </c>
      <c r="H33" s="12">
        <f>+C33+D33+E33+F33</f>
        <v>733304.23070924415</v>
      </c>
      <c r="K33" s="7">
        <v>42886</v>
      </c>
      <c r="L33" s="167">
        <v>3420.0903189716655</v>
      </c>
      <c r="M33" s="167">
        <v>6803.7361104399579</v>
      </c>
      <c r="N33" s="167">
        <v>4187.4057118721485</v>
      </c>
      <c r="O33" s="167">
        <v>1002.868799427671</v>
      </c>
      <c r="U33" s="7"/>
      <c r="V33" s="167"/>
      <c r="W33" s="167"/>
      <c r="X33" s="167"/>
      <c r="Y33" s="167"/>
      <c r="AE33" s="7">
        <v>42947</v>
      </c>
      <c r="AF33" s="167">
        <v>2671.9889473985763</v>
      </c>
      <c r="AG33" s="167">
        <v>4374.4240292135455</v>
      </c>
      <c r="AH33" s="167">
        <v>3459.2502711305724</v>
      </c>
      <c r="AI33" s="167">
        <v>723.49321728690757</v>
      </c>
      <c r="AM33" s="7">
        <v>42978</v>
      </c>
      <c r="AN33" s="392">
        <v>2396</v>
      </c>
      <c r="AO33" s="167">
        <v>5200</v>
      </c>
      <c r="AP33" s="167">
        <v>3009</v>
      </c>
      <c r="AQ33" s="167">
        <v>750</v>
      </c>
    </row>
    <row r="34" spans="2:45" x14ac:dyDescent="0.25">
      <c r="C34" s="168">
        <f>+'Texas Gas Zone 2, KY 16-17'!M15+'Texas Gas Zone 2, KY 16-17'!M33</f>
        <v>192752.80288474349</v>
      </c>
      <c r="D34" s="168">
        <f>+'Texas Gas Zn 3 North, KY 16-17'!M15+'Texas Gas Zn 3 North, KY 16-17'!M33</f>
        <v>475227.12272122712</v>
      </c>
      <c r="E34" s="168">
        <f>+'Texas Gas Zn 3 South, KY 16-17'!M15+'Texas Gas Zn 3 South, KY 16-17'!M33</f>
        <v>270806.62836177973</v>
      </c>
      <c r="F34" s="168">
        <v>73691.863807068381</v>
      </c>
      <c r="G34" t="s">
        <v>183</v>
      </c>
      <c r="H34" s="168">
        <f>+C34+D34+E34+F34</f>
        <v>1012478.4177748188</v>
      </c>
      <c r="J34" s="168"/>
      <c r="K34" t="s">
        <v>181</v>
      </c>
      <c r="L34" s="12">
        <f>SUM(L3:L32)</f>
        <v>104770.49903535082</v>
      </c>
      <c r="M34" s="12">
        <f>SUM(M3:M32)</f>
        <v>226922.86135702897</v>
      </c>
      <c r="N34" s="12">
        <f>SUM(N3:N32)</f>
        <v>131432.16190201751</v>
      </c>
      <c r="O34" s="12">
        <f>SUM(O3:O32)</f>
        <v>32807.388989787185</v>
      </c>
      <c r="P34" t="s">
        <v>182</v>
      </c>
      <c r="Q34" s="12">
        <f>+L34+M34+N34+O34</f>
        <v>495932.91128418455</v>
      </c>
      <c r="U34" t="s">
        <v>181</v>
      </c>
      <c r="V34" s="12">
        <f>SUM(V3:V32)</f>
        <v>89544.107595856593</v>
      </c>
      <c r="W34" s="12">
        <f>SUM(W3:W32)</f>
        <v>182142.01766440968</v>
      </c>
      <c r="X34" s="12">
        <f>SUM(X3:X32)</f>
        <v>99467.984428529322</v>
      </c>
      <c r="Y34" s="12">
        <f>SUM(Y3:Y32)</f>
        <v>23704.941142913878</v>
      </c>
      <c r="Z34" t="s">
        <v>182</v>
      </c>
      <c r="AA34" s="12">
        <f>+V34+W34+X34+Y34</f>
        <v>394859.05083170946</v>
      </c>
      <c r="AE34" t="s">
        <v>181</v>
      </c>
      <c r="AF34" s="12">
        <f>SUM(AF3:AF32)</f>
        <v>76199.779098861283</v>
      </c>
      <c r="AG34" s="12">
        <f>SUM(AG3:AG32)</f>
        <v>153136.62826722165</v>
      </c>
      <c r="AH34" s="12">
        <f>SUM(AH3:AH32)</f>
        <v>95210.765394694055</v>
      </c>
      <c r="AI34" s="12">
        <f>SUM(AI3:AI32)</f>
        <v>21679.484033536559</v>
      </c>
      <c r="AJ34" t="s">
        <v>182</v>
      </c>
      <c r="AK34" s="12">
        <f>+AF34+AG34+AH34+AI34</f>
        <v>346226.65679431357</v>
      </c>
      <c r="AM34" t="s">
        <v>181</v>
      </c>
      <c r="AN34" s="12">
        <f>SUM(AN3:AN33)</f>
        <v>74276</v>
      </c>
      <c r="AO34" s="12">
        <f t="shared" ref="AO34:AQ34" si="1">SUM(AO3:AO33)</f>
        <v>161200</v>
      </c>
      <c r="AP34" s="12">
        <f t="shared" si="1"/>
        <v>93279</v>
      </c>
      <c r="AQ34" s="12">
        <f t="shared" si="1"/>
        <v>23250</v>
      </c>
      <c r="AR34" t="s">
        <v>182</v>
      </c>
      <c r="AS34" s="12">
        <f>+AN34+AO34+AP34+AQ34</f>
        <v>352005</v>
      </c>
    </row>
    <row r="35" spans="2:45" x14ac:dyDescent="0.25">
      <c r="C35" s="168">
        <f>+C34*0.75</f>
        <v>144564.6021635576</v>
      </c>
      <c r="D35" s="168">
        <f>+D34*0.75</f>
        <v>356420.34204092034</v>
      </c>
      <c r="E35" s="168">
        <f>+E34*0.75</f>
        <v>203104.9712713348</v>
      </c>
      <c r="F35" s="168">
        <f>+F34*0.75</f>
        <v>55268.897855301286</v>
      </c>
      <c r="H35" s="15">
        <f>+H34*0.75</f>
        <v>759358.81333111413</v>
      </c>
      <c r="I35" t="s">
        <v>219</v>
      </c>
      <c r="L35" s="168">
        <f>+'Texas Gas Zone 2, KY 16-17'!M17+'Texas Gas Zone 2, KY 16-17'!M35</f>
        <v>81849.174275401412</v>
      </c>
      <c r="M35" s="168">
        <f>+'Texas Gas Zn 3 North, KY 16-17'!M17+'Texas Gas Zn 3 North, KY 16-17'!M35</f>
        <v>184316.76730911765</v>
      </c>
      <c r="N35" s="168">
        <f>+'Texas Gas Zn 3 South, KY 16-17'!M17+'Texas Gas Zn 3 South, KY 16-17'!M35</f>
        <v>102184.42607912768</v>
      </c>
      <c r="O35" s="168">
        <f>+'Texas Gas Zone 4, KY 16-17'!M17+'Texas Gas Zone 4, KY 16-17'!M35</f>
        <v>23755.268525495801</v>
      </c>
      <c r="P35" t="s">
        <v>183</v>
      </c>
      <c r="Q35" s="168">
        <f>+L35+M35+N35+O35</f>
        <v>392105.63618914247</v>
      </c>
      <c r="R35" t="s">
        <v>226</v>
      </c>
      <c r="V35" s="168">
        <f>+'Texas Gas Zone 2, KY 16-17'!M17+'Texas Gas Zone 2, KY 16-17'!M35</f>
        <v>81849.174275401412</v>
      </c>
      <c r="W35" s="168">
        <f>+'Texas Gas Zn 3 North, KY 16-17'!M17+'Texas Gas Zn 3 North, KY 16-17'!M35</f>
        <v>184316.76730911765</v>
      </c>
      <c r="X35" s="168">
        <f>+'Texas Gas Zn 3 South, KY 16-17'!M17+'Texas Gas Zn 3 South, KY 16-17'!M35</f>
        <v>102184.42607912768</v>
      </c>
      <c r="Y35" s="168">
        <f>+'Texas Gas Zone 4, KY 16-17'!M17+'Texas Gas Zone 4, KY 16-17'!M35</f>
        <v>23755.268525495801</v>
      </c>
      <c r="Z35" t="s">
        <v>183</v>
      </c>
      <c r="AA35" s="168">
        <f>+V35+W35+X35+Y35</f>
        <v>392105.63618914247</v>
      </c>
      <c r="AB35" t="s">
        <v>226</v>
      </c>
      <c r="AF35" s="168">
        <f>+'Texas Gas Zone 2, KY 16-17'!M18+'Texas Gas Zone 2, KY 16-17'!M36</f>
        <v>77111.197301524342</v>
      </c>
      <c r="AG35" s="168">
        <f>+'Texas Gas Zn 3 North, KY 16-17'!M18+'Texas Gas Zn 3 North, KY 16-17'!M36</f>
        <v>173444.30630761632</v>
      </c>
      <c r="AH35" s="168">
        <f>+'Texas Gas Zn 3 South, KY 16-17'!M18+'Texas Gas Zn 3 South, KY 16-17'!M36</f>
        <v>97948.816133174812</v>
      </c>
      <c r="AI35" s="168">
        <f>+'Texas Gas Zone 4, KY 16-17'!M18+'Texas Gas Zone 4, KY 16-17'!M36</f>
        <v>22374.517668917855</v>
      </c>
      <c r="AJ35" t="s">
        <v>183</v>
      </c>
      <c r="AK35" s="168">
        <f>+AF35+AG35+AH35+AI35</f>
        <v>370878.83741123328</v>
      </c>
      <c r="AN35" s="168">
        <f>+'Texas Gas Zone 2, KY 17-18'!M19+'Texas Gas Zone 2, KY 17-18'!M37</f>
        <v>74266.140785989701</v>
      </c>
      <c r="AO35" s="168">
        <f>+'Texas Gas Zn 3 North, KY 17-18'!M19+'Texas Gas Zn 3 North, KY 17-18'!M37</f>
        <v>168670.87314541041</v>
      </c>
      <c r="AP35" s="168">
        <f>+'Texas Gas Zn 3 South, KY 17-18'!M19+'Texas Gas Zn 3 South, KY 17-18'!M37</f>
        <v>109549.5634004014</v>
      </c>
      <c r="AQ35" s="168">
        <f>+'Texas Gas Zone 4, KY 17-18'!M19+'Texas Gas Zone 4, KY 17-18'!M37</f>
        <v>23249.849230276694</v>
      </c>
      <c r="AR35" t="s">
        <v>183</v>
      </c>
      <c r="AS35" s="168">
        <f>+AN35+AO35+AP35+AQ35</f>
        <v>375736.42656207824</v>
      </c>
    </row>
    <row r="36" spans="2:45" x14ac:dyDescent="0.25">
      <c r="L36" s="168">
        <f>+L35/31</f>
        <v>2640.2959443677873</v>
      </c>
      <c r="M36" s="168">
        <f>+M35/31</f>
        <v>5945.7021712618598</v>
      </c>
      <c r="N36" s="168">
        <f>+N35/31</f>
        <v>3296.2718090041185</v>
      </c>
      <c r="O36" s="168">
        <f>+O35/31</f>
        <v>766.29898469341299</v>
      </c>
      <c r="Q36" s="15"/>
      <c r="S36" s="168"/>
      <c r="V36" s="168">
        <f>+V35/30</f>
        <v>2728.3058091800472</v>
      </c>
      <c r="W36" s="168">
        <f>+W35/30</f>
        <v>6143.892243637255</v>
      </c>
      <c r="X36" s="168">
        <f>+X35/30</f>
        <v>3406.1475359709225</v>
      </c>
      <c r="Y36" s="168">
        <f>+Y35/30</f>
        <v>791.84228418319333</v>
      </c>
      <c r="AA36" s="15"/>
      <c r="AC36" s="168"/>
      <c r="AF36" s="168">
        <f>+AF35/31</f>
        <v>2487.4579774685271</v>
      </c>
      <c r="AG36" s="168">
        <f>+AG35/31</f>
        <v>5594.9776228263327</v>
      </c>
      <c r="AH36" s="168">
        <f>+AH35/31</f>
        <v>3159.6392301024134</v>
      </c>
      <c r="AI36" s="168">
        <f>+AI35/31</f>
        <v>721.75863448122118</v>
      </c>
      <c r="AK36" s="15"/>
      <c r="AN36" s="168">
        <f>+AN35/31</f>
        <v>2395.6819608383776</v>
      </c>
      <c r="AO36" s="168">
        <f>+AO35/31</f>
        <v>5440.9959079164646</v>
      </c>
      <c r="AP36" s="168">
        <f>+AP35/31</f>
        <v>3533.856883883916</v>
      </c>
      <c r="AQ36" s="168">
        <f>+AQ35/31</f>
        <v>749.99513646053845</v>
      </c>
      <c r="AS36" s="15"/>
    </row>
    <row r="37" spans="2:45" x14ac:dyDescent="0.25">
      <c r="C37" s="15">
        <f>+C35/30</f>
        <v>4818.8200721185867</v>
      </c>
      <c r="D37" s="15">
        <f>+D35/30</f>
        <v>11880.678068030678</v>
      </c>
      <c r="E37" s="15">
        <f>+E35/30</f>
        <v>6770.1657090444933</v>
      </c>
      <c r="F37" s="15">
        <f>+F35/30</f>
        <v>1842.2965951767096</v>
      </c>
      <c r="G37" t="s">
        <v>188</v>
      </c>
      <c r="H37" t="s">
        <v>219</v>
      </c>
    </row>
    <row r="38" spans="2:45" x14ac:dyDescent="0.25">
      <c r="L38" s="15"/>
      <c r="M38" s="15"/>
      <c r="N38" s="15"/>
      <c r="O38" s="1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5" sqref="J35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"/>
  <sheetViews>
    <sheetView topLeftCell="A4" zoomScaleNormal="100" workbookViewId="0">
      <selection activeCell="J35" sqref="J35"/>
    </sheetView>
  </sheetViews>
  <sheetFormatPr defaultRowHeight="13.2" x14ac:dyDescent="0.25"/>
  <cols>
    <col min="1" max="1" width="10.33203125" customWidth="1"/>
    <col min="2" max="2" width="13.109375" bestFit="1" customWidth="1"/>
    <col min="3" max="4" width="13.109375" customWidth="1"/>
    <col min="5" max="5" width="14" customWidth="1"/>
    <col min="6" max="6" width="11.88671875" bestFit="1" customWidth="1"/>
    <col min="7" max="7" width="14.6640625" bestFit="1" customWidth="1"/>
    <col min="8" max="8" width="13.88671875" bestFit="1" customWidth="1"/>
    <col min="9" max="9" width="14.6640625" bestFit="1" customWidth="1"/>
    <col min="10" max="10" width="14.5546875" bestFit="1" customWidth="1"/>
    <col min="11" max="11" width="14.6640625" bestFit="1" customWidth="1"/>
    <col min="12" max="12" width="14.33203125" bestFit="1" customWidth="1"/>
    <col min="13" max="13" width="14.6640625" bestFit="1" customWidth="1"/>
    <col min="14" max="14" width="54.109375" bestFit="1" customWidth="1"/>
    <col min="15" max="15" width="12.88671875" bestFit="1" customWidth="1"/>
    <col min="16" max="16" width="11.88671875" bestFit="1" customWidth="1"/>
  </cols>
  <sheetData>
    <row r="3" spans="1:17" x14ac:dyDescent="0.25">
      <c r="B3" t="s">
        <v>47</v>
      </c>
    </row>
    <row r="4" spans="1:17" x14ac:dyDescent="0.25">
      <c r="B4" t="s">
        <v>48</v>
      </c>
      <c r="G4" s="22"/>
      <c r="H4" s="22"/>
      <c r="I4" s="22"/>
      <c r="J4" s="22"/>
      <c r="K4" s="22"/>
      <c r="L4" s="22"/>
      <c r="M4" s="22"/>
      <c r="N4" s="22"/>
      <c r="O4" s="22"/>
      <c r="P4" s="8"/>
      <c r="Q4" s="8"/>
    </row>
    <row r="5" spans="1:17" x14ac:dyDescent="0.25">
      <c r="G5" s="8"/>
      <c r="H5" s="8"/>
      <c r="I5" s="8"/>
      <c r="J5" s="8"/>
      <c r="K5" s="22"/>
      <c r="L5" s="8"/>
      <c r="M5" s="22"/>
      <c r="N5" s="9"/>
      <c r="O5" s="22"/>
      <c r="P5" s="8"/>
      <c r="Q5" s="8"/>
    </row>
    <row r="6" spans="1:17" x14ac:dyDescent="0.25">
      <c r="G6" s="8"/>
      <c r="H6" s="8"/>
      <c r="I6" s="8"/>
      <c r="J6" s="8"/>
      <c r="K6" s="22"/>
      <c r="L6" s="8"/>
      <c r="M6" s="22"/>
      <c r="N6" s="9"/>
      <c r="O6" s="22"/>
      <c r="P6" s="8"/>
      <c r="Q6" s="8"/>
    </row>
    <row r="7" spans="1:17" x14ac:dyDescent="0.25">
      <c r="E7" s="23" t="s">
        <v>49</v>
      </c>
      <c r="F7" s="23" t="s">
        <v>50</v>
      </c>
      <c r="G7" s="8"/>
      <c r="H7" s="29"/>
      <c r="I7" s="8"/>
      <c r="J7" s="29"/>
      <c r="K7" s="22"/>
      <c r="L7" s="29"/>
      <c r="M7" s="22"/>
      <c r="N7" s="29"/>
      <c r="O7" s="22"/>
      <c r="P7" s="29"/>
      <c r="Q7" s="8"/>
    </row>
    <row r="8" spans="1:17" x14ac:dyDescent="0.25">
      <c r="B8" s="10" t="s">
        <v>33</v>
      </c>
      <c r="C8" s="23" t="s">
        <v>49</v>
      </c>
      <c r="D8" s="23" t="s">
        <v>50</v>
      </c>
      <c r="E8" s="24">
        <v>0.95</v>
      </c>
      <c r="F8" s="24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B9" s="10"/>
      <c r="C9" s="10"/>
      <c r="D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t="s">
        <v>51</v>
      </c>
      <c r="B10" s="25">
        <v>798065</v>
      </c>
      <c r="C10" s="24">
        <v>0.95</v>
      </c>
      <c r="D10" s="149">
        <v>0.05</v>
      </c>
      <c r="E10" s="11">
        <f t="shared" ref="E10:E15" si="0">+B10*E$8</f>
        <v>758161.75</v>
      </c>
      <c r="F10" s="11">
        <f>+B10*D10</f>
        <v>39903.25</v>
      </c>
      <c r="G10" s="27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t="s">
        <v>52</v>
      </c>
      <c r="B11" s="25">
        <v>313035</v>
      </c>
      <c r="C11" s="24">
        <v>0.95</v>
      </c>
      <c r="D11" s="149">
        <v>0.3</v>
      </c>
      <c r="E11" s="11">
        <f t="shared" si="0"/>
        <v>297383.25</v>
      </c>
      <c r="F11" s="11">
        <f t="shared" ref="F11:F15" si="1">+B11*D11</f>
        <v>93910.5</v>
      </c>
      <c r="G11" s="27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t="s">
        <v>53</v>
      </c>
      <c r="B12" s="25">
        <v>462890</v>
      </c>
      <c r="C12" s="24">
        <v>0.95</v>
      </c>
      <c r="D12" s="149">
        <v>0.17</v>
      </c>
      <c r="E12" s="11">
        <f t="shared" si="0"/>
        <v>439745.5</v>
      </c>
      <c r="F12" s="11">
        <f t="shared" si="1"/>
        <v>78691.3</v>
      </c>
      <c r="G12" s="27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t="s">
        <v>54</v>
      </c>
      <c r="B13" s="25">
        <v>227448</v>
      </c>
      <c r="C13" s="24">
        <v>0.95</v>
      </c>
      <c r="D13" s="149">
        <v>0.22</v>
      </c>
      <c r="E13" s="11">
        <f t="shared" si="0"/>
        <v>216075.59999999998</v>
      </c>
      <c r="F13" s="11">
        <f t="shared" si="1"/>
        <v>50038.559999999998</v>
      </c>
      <c r="G13" s="27"/>
      <c r="H13" s="30"/>
      <c r="I13" s="30"/>
      <c r="J13" s="30"/>
      <c r="K13" s="30"/>
      <c r="L13" s="30"/>
      <c r="M13" s="30"/>
      <c r="N13" s="30"/>
      <c r="O13" s="8"/>
      <c r="P13" s="8"/>
      <c r="Q13" s="8"/>
    </row>
    <row r="14" spans="1:17" x14ac:dyDescent="0.25">
      <c r="A14" t="s">
        <v>55</v>
      </c>
      <c r="B14" s="25">
        <v>2752325</v>
      </c>
      <c r="C14" s="24">
        <v>0.95</v>
      </c>
      <c r="D14" s="149">
        <v>0.27</v>
      </c>
      <c r="E14" s="11">
        <f t="shared" si="0"/>
        <v>2614708.75</v>
      </c>
      <c r="F14" s="11">
        <f t="shared" si="1"/>
        <v>743127.75</v>
      </c>
      <c r="G14" s="27"/>
      <c r="H14" s="30"/>
      <c r="I14" s="30"/>
      <c r="J14" s="30"/>
      <c r="K14" s="30"/>
      <c r="L14" s="30"/>
      <c r="M14" s="30"/>
      <c r="N14" s="30"/>
      <c r="O14" s="8"/>
      <c r="P14" s="8"/>
      <c r="Q14" s="8"/>
    </row>
    <row r="15" spans="1:17" x14ac:dyDescent="0.25">
      <c r="A15" t="s">
        <v>56</v>
      </c>
      <c r="B15" s="166">
        <v>1793750</v>
      </c>
      <c r="C15" s="24">
        <v>0.95</v>
      </c>
      <c r="D15" s="149">
        <v>0.27</v>
      </c>
      <c r="E15" s="20">
        <f t="shared" si="0"/>
        <v>1704062.5</v>
      </c>
      <c r="F15" s="20">
        <f t="shared" si="1"/>
        <v>484312.50000000006</v>
      </c>
      <c r="G15" s="27"/>
      <c r="H15" s="30"/>
      <c r="I15" s="30"/>
      <c r="J15" s="30"/>
      <c r="K15" s="30"/>
      <c r="L15" s="30"/>
      <c r="M15" s="30"/>
      <c r="N15" s="30"/>
      <c r="O15" s="8"/>
      <c r="P15" s="8"/>
      <c r="Q15" s="8"/>
    </row>
    <row r="16" spans="1:17" x14ac:dyDescent="0.25">
      <c r="B16" s="11"/>
      <c r="C16" s="11"/>
      <c r="D16" s="11"/>
      <c r="G16" s="30"/>
      <c r="H16" s="30"/>
      <c r="I16" s="30"/>
      <c r="J16" s="30"/>
      <c r="K16" s="30"/>
      <c r="L16" s="30"/>
      <c r="M16" s="31"/>
      <c r="N16" s="30"/>
      <c r="O16" s="32"/>
      <c r="P16" s="27"/>
      <c r="Q16" s="8"/>
    </row>
    <row r="17" spans="1:17" x14ac:dyDescent="0.25">
      <c r="B17" s="25">
        <f>SUM(B10:B15)</f>
        <v>6347513</v>
      </c>
      <c r="C17" s="25"/>
      <c r="D17" s="25"/>
      <c r="E17" s="12">
        <f>SUM(E10:E15)</f>
        <v>6030137.3499999996</v>
      </c>
      <c r="F17" s="12">
        <f>SUM(F10:F15)</f>
        <v>1489983.86</v>
      </c>
      <c r="G17" s="31"/>
      <c r="H17" s="33"/>
      <c r="I17" s="31"/>
      <c r="J17" s="33"/>
      <c r="K17" s="31"/>
      <c r="L17" s="33"/>
      <c r="M17" s="34"/>
      <c r="N17" s="33"/>
      <c r="O17" s="35"/>
      <c r="P17" s="36"/>
      <c r="Q17" s="27"/>
    </row>
    <row r="18" spans="1:17" x14ac:dyDescent="0.25">
      <c r="B18" s="11"/>
      <c r="C18" s="11"/>
      <c r="D18" s="11"/>
      <c r="G18" s="30"/>
      <c r="H18" s="19"/>
      <c r="I18" s="30"/>
      <c r="J18" s="19"/>
      <c r="K18" s="30"/>
      <c r="L18" s="19"/>
      <c r="M18" s="30"/>
      <c r="N18" s="19"/>
      <c r="O18" s="27"/>
      <c r="P18" s="19"/>
      <c r="Q18" s="8"/>
    </row>
    <row r="19" spans="1:17" x14ac:dyDescent="0.25">
      <c r="B19" s="11" t="s">
        <v>57</v>
      </c>
      <c r="C19" s="11"/>
      <c r="D19" s="11"/>
      <c r="G19" s="33"/>
      <c r="H19" s="37"/>
      <c r="I19" s="33"/>
      <c r="J19" s="38"/>
      <c r="K19" s="33"/>
      <c r="L19" s="38"/>
      <c r="M19" s="33"/>
      <c r="N19" s="38"/>
      <c r="O19" s="33"/>
      <c r="P19" s="37"/>
      <c r="Q19" s="8"/>
    </row>
    <row r="20" spans="1:17" x14ac:dyDescent="0.25">
      <c r="B20" s="11" t="s">
        <v>58</v>
      </c>
      <c r="C20" s="11"/>
      <c r="D20" s="11"/>
      <c r="G20" s="39"/>
      <c r="H20" s="37"/>
      <c r="I20" s="39"/>
      <c r="J20" s="38"/>
      <c r="K20" s="39"/>
      <c r="L20" s="38"/>
      <c r="M20" s="40"/>
      <c r="N20" s="38"/>
      <c r="O20" s="39"/>
      <c r="P20" s="37"/>
      <c r="Q20" s="8"/>
    </row>
    <row r="21" spans="1:17" x14ac:dyDescent="0.25">
      <c r="B21" s="11"/>
      <c r="C21" s="11"/>
      <c r="D21" s="11"/>
      <c r="G21" s="11"/>
      <c r="H21" s="16"/>
      <c r="I21" s="16"/>
      <c r="J21" s="16"/>
      <c r="K21" s="16"/>
      <c r="L21" s="16"/>
      <c r="M21" s="16"/>
      <c r="N21" s="16"/>
    </row>
    <row r="22" spans="1:17" x14ac:dyDescent="0.25">
      <c r="B22" s="43"/>
      <c r="C22" s="11"/>
      <c r="D22" s="11"/>
      <c r="E22" t="s">
        <v>59</v>
      </c>
      <c r="F22" s="10" t="s">
        <v>41</v>
      </c>
      <c r="G22" s="45" t="s">
        <v>35</v>
      </c>
      <c r="H22" s="13" t="s">
        <v>36</v>
      </c>
      <c r="I22" s="13" t="s">
        <v>37</v>
      </c>
      <c r="J22" s="13" t="s">
        <v>42</v>
      </c>
      <c r="K22" s="13" t="s">
        <v>43</v>
      </c>
      <c r="L22" s="13" t="s">
        <v>44</v>
      </c>
      <c r="M22" s="16"/>
      <c r="N22" s="16"/>
    </row>
    <row r="23" spans="1:17" x14ac:dyDescent="0.25">
      <c r="B23" s="10" t="s">
        <v>220</v>
      </c>
      <c r="C23" s="13" t="s">
        <v>1</v>
      </c>
      <c r="D23" s="13"/>
      <c r="E23" s="28"/>
      <c r="F23" s="10">
        <v>30</v>
      </c>
      <c r="G23" s="10">
        <v>31</v>
      </c>
      <c r="H23" s="10">
        <v>30</v>
      </c>
      <c r="I23" s="10">
        <v>31</v>
      </c>
      <c r="J23" s="10">
        <v>31</v>
      </c>
      <c r="K23" s="10">
        <v>30</v>
      </c>
      <c r="L23" s="10">
        <v>31</v>
      </c>
      <c r="M23" s="16"/>
      <c r="N23" s="26"/>
      <c r="O23" s="24"/>
    </row>
    <row r="24" spans="1:17" x14ac:dyDescent="0.25">
      <c r="B24" s="10"/>
      <c r="C24" s="10" t="s">
        <v>2</v>
      </c>
      <c r="D24" s="10" t="s">
        <v>0</v>
      </c>
      <c r="F24" s="16"/>
      <c r="G24" s="11"/>
      <c r="H24" s="11"/>
      <c r="I24" s="11"/>
      <c r="J24" s="11"/>
      <c r="K24" s="11"/>
      <c r="L24" s="11"/>
      <c r="M24" s="11"/>
      <c r="N24" s="11"/>
    </row>
    <row r="25" spans="1:17" x14ac:dyDescent="0.25">
      <c r="A25" t="s">
        <v>51</v>
      </c>
      <c r="B25" s="11">
        <f t="shared" ref="B25" si="2">+B10</f>
        <v>798065</v>
      </c>
      <c r="C25" s="147">
        <f t="shared" ref="C25" si="3">+E10-E25</f>
        <v>477246.75</v>
      </c>
      <c r="D25" s="43">
        <f>+$E$25/B25</f>
        <v>0.35199513824061951</v>
      </c>
      <c r="E25" s="14">
        <v>280915</v>
      </c>
      <c r="F25" s="11">
        <f>+$C$25/7</f>
        <v>68178.107142857145</v>
      </c>
      <c r="G25" s="11">
        <f t="shared" ref="G25:L25" si="4">+$C$25/7</f>
        <v>68178.107142857145</v>
      </c>
      <c r="H25" s="11">
        <f t="shared" si="4"/>
        <v>68178.107142857145</v>
      </c>
      <c r="I25" s="11">
        <f t="shared" si="4"/>
        <v>68178.107142857145</v>
      </c>
      <c r="J25" s="11">
        <f t="shared" si="4"/>
        <v>68178.107142857145</v>
      </c>
      <c r="K25" s="11">
        <f t="shared" si="4"/>
        <v>68178.107142857145</v>
      </c>
      <c r="L25" s="11">
        <f t="shared" si="4"/>
        <v>68178.107142857145</v>
      </c>
      <c r="M25" s="11">
        <f t="shared" ref="M25:M35" si="5">SUM(F25:L25)</f>
        <v>477246.75000000006</v>
      </c>
      <c r="N25" s="11"/>
      <c r="O25" s="11">
        <f t="shared" ref="O25:O35" si="6">+$B25*O$23</f>
        <v>0</v>
      </c>
    </row>
    <row r="26" spans="1:17" x14ac:dyDescent="0.25">
      <c r="B26" s="11"/>
      <c r="C26" s="147"/>
      <c r="D26" s="43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7" x14ac:dyDescent="0.25">
      <c r="A27" t="s">
        <v>52</v>
      </c>
      <c r="B27" s="11">
        <f>+B11</f>
        <v>313035</v>
      </c>
      <c r="C27" s="147">
        <f>+E11-E27</f>
        <v>141644.25</v>
      </c>
      <c r="D27" s="43">
        <f>+E27/B27</f>
        <v>0.49751305764531123</v>
      </c>
      <c r="E27" s="14">
        <v>155739</v>
      </c>
      <c r="F27" s="11">
        <f>+$C$27/7</f>
        <v>20234.892857142859</v>
      </c>
      <c r="G27" s="11">
        <f t="shared" ref="G27:L27" si="7">+$C$27/7</f>
        <v>20234.892857142859</v>
      </c>
      <c r="H27" s="11">
        <f t="shared" si="7"/>
        <v>20234.892857142859</v>
      </c>
      <c r="I27" s="11">
        <f t="shared" si="7"/>
        <v>20234.892857142859</v>
      </c>
      <c r="J27" s="11">
        <f t="shared" si="7"/>
        <v>20234.892857142859</v>
      </c>
      <c r="K27" s="11">
        <f t="shared" si="7"/>
        <v>20234.892857142859</v>
      </c>
      <c r="L27" s="11">
        <f t="shared" si="7"/>
        <v>20234.892857142859</v>
      </c>
      <c r="M27" s="11">
        <f t="shared" si="5"/>
        <v>141644.25</v>
      </c>
      <c r="N27" s="11"/>
      <c r="O27" s="11">
        <f t="shared" si="6"/>
        <v>0</v>
      </c>
    </row>
    <row r="28" spans="1:17" x14ac:dyDescent="0.25">
      <c r="B28" s="11"/>
      <c r="C28" s="147"/>
      <c r="D28" s="43"/>
      <c r="E28" s="14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7" x14ac:dyDescent="0.25">
      <c r="A29" t="s">
        <v>53</v>
      </c>
      <c r="B29" s="11">
        <f>+B12</f>
        <v>462890</v>
      </c>
      <c r="C29" s="147">
        <f>+E12-E29</f>
        <v>257910.5</v>
      </c>
      <c r="D29" s="43">
        <f>+E29/B29</f>
        <v>0.39282550930026572</v>
      </c>
      <c r="E29" s="14">
        <v>181835</v>
      </c>
      <c r="F29" s="11">
        <f>$C$29/7</f>
        <v>36844.357142857145</v>
      </c>
      <c r="G29" s="11">
        <f t="shared" ref="G29:L29" si="8">$C$29/7</f>
        <v>36844.357142857145</v>
      </c>
      <c r="H29" s="11">
        <f t="shared" si="8"/>
        <v>36844.357142857145</v>
      </c>
      <c r="I29" s="11">
        <f t="shared" si="8"/>
        <v>36844.357142857145</v>
      </c>
      <c r="J29" s="11">
        <f t="shared" si="8"/>
        <v>36844.357142857145</v>
      </c>
      <c r="K29" s="11">
        <f t="shared" si="8"/>
        <v>36844.357142857145</v>
      </c>
      <c r="L29" s="11">
        <f t="shared" si="8"/>
        <v>36844.357142857145</v>
      </c>
      <c r="M29" s="11">
        <f t="shared" si="5"/>
        <v>257910.50000000006</v>
      </c>
      <c r="N29" s="11"/>
      <c r="O29" s="11">
        <f t="shared" si="6"/>
        <v>0</v>
      </c>
    </row>
    <row r="30" spans="1:17" x14ac:dyDescent="0.25">
      <c r="B30" s="11"/>
      <c r="C30" s="147"/>
      <c r="D30" s="43"/>
      <c r="E30" s="14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7" x14ac:dyDescent="0.25">
      <c r="A31" t="s">
        <v>54</v>
      </c>
      <c r="B31" s="11">
        <f>+B13</f>
        <v>227448</v>
      </c>
      <c r="C31" s="147">
        <f>+E13-E31</f>
        <v>133656.59999999998</v>
      </c>
      <c r="D31" s="43">
        <f>+E31/B31</f>
        <v>0.36236414477155215</v>
      </c>
      <c r="E31" s="14">
        <v>82419</v>
      </c>
      <c r="F31" s="11">
        <f>$C$31/7</f>
        <v>19093.799999999996</v>
      </c>
      <c r="G31" s="11">
        <f t="shared" ref="G31:L31" si="9">$C$31/7</f>
        <v>19093.799999999996</v>
      </c>
      <c r="H31" s="11">
        <f t="shared" si="9"/>
        <v>19093.799999999996</v>
      </c>
      <c r="I31" s="11">
        <f t="shared" si="9"/>
        <v>19093.799999999996</v>
      </c>
      <c r="J31" s="11">
        <f t="shared" si="9"/>
        <v>19093.799999999996</v>
      </c>
      <c r="K31" s="11">
        <f t="shared" si="9"/>
        <v>19093.799999999996</v>
      </c>
      <c r="L31" s="11">
        <f t="shared" si="9"/>
        <v>19093.799999999996</v>
      </c>
      <c r="M31" s="11">
        <f t="shared" si="5"/>
        <v>133656.59999999995</v>
      </c>
      <c r="N31" s="11"/>
      <c r="O31" s="11">
        <f t="shared" si="6"/>
        <v>0</v>
      </c>
    </row>
    <row r="32" spans="1:17" x14ac:dyDescent="0.25">
      <c r="B32" s="11"/>
      <c r="C32" s="147"/>
      <c r="D32" s="43"/>
      <c r="E32" s="14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t="s">
        <v>55</v>
      </c>
      <c r="B33" s="11">
        <f>+B14</f>
        <v>2752325</v>
      </c>
      <c r="C33" s="147">
        <f>+E14-E33</f>
        <v>1307077.75</v>
      </c>
      <c r="D33" s="43">
        <f>+E33/B33</f>
        <v>0.47510050593589054</v>
      </c>
      <c r="E33" s="14">
        <v>1307631</v>
      </c>
      <c r="F33" s="11">
        <f>$C$33/7</f>
        <v>186725.39285714287</v>
      </c>
      <c r="G33" s="11">
        <f t="shared" ref="G33:L33" si="10">$C$33/7</f>
        <v>186725.39285714287</v>
      </c>
      <c r="H33" s="11">
        <f t="shared" si="10"/>
        <v>186725.39285714287</v>
      </c>
      <c r="I33" s="11">
        <f t="shared" si="10"/>
        <v>186725.39285714287</v>
      </c>
      <c r="J33" s="11">
        <f t="shared" si="10"/>
        <v>186725.39285714287</v>
      </c>
      <c r="K33" s="11">
        <f t="shared" si="10"/>
        <v>186725.39285714287</v>
      </c>
      <c r="L33" s="11">
        <f t="shared" si="10"/>
        <v>186725.39285714287</v>
      </c>
      <c r="M33" s="11">
        <f t="shared" si="5"/>
        <v>1307077.7500000002</v>
      </c>
      <c r="N33" s="11"/>
      <c r="O33" s="11">
        <f t="shared" si="6"/>
        <v>0</v>
      </c>
    </row>
    <row r="34" spans="1:15" x14ac:dyDescent="0.25">
      <c r="B34" s="11"/>
      <c r="C34" s="147"/>
      <c r="D34" s="43"/>
      <c r="E34" s="14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t="s">
        <v>56</v>
      </c>
      <c r="B35" s="11">
        <f>+B15</f>
        <v>1793750</v>
      </c>
      <c r="C35" s="11">
        <f>+E15-E35</f>
        <v>809980.5</v>
      </c>
      <c r="D35" s="43">
        <f>+E35/B35</f>
        <v>0.49844292682926827</v>
      </c>
      <c r="E35" s="42">
        <v>894082</v>
      </c>
      <c r="F35" s="20">
        <f t="shared" ref="F35:L35" si="11">+F47*F23</f>
        <v>111810</v>
      </c>
      <c r="G35" s="20">
        <f t="shared" si="11"/>
        <v>117831</v>
      </c>
      <c r="H35" s="20">
        <f t="shared" si="11"/>
        <v>0</v>
      </c>
      <c r="I35" s="20">
        <f t="shared" si="11"/>
        <v>0</v>
      </c>
      <c r="J35" s="20">
        <f t="shared" si="11"/>
        <v>195548</v>
      </c>
      <c r="K35" s="20">
        <f t="shared" si="11"/>
        <v>111810</v>
      </c>
      <c r="L35" s="20">
        <f t="shared" si="11"/>
        <v>117831</v>
      </c>
      <c r="M35" s="20">
        <f t="shared" si="5"/>
        <v>654830</v>
      </c>
      <c r="N35" s="20" t="s">
        <v>221</v>
      </c>
      <c r="O35" s="20">
        <f t="shared" si="6"/>
        <v>0</v>
      </c>
    </row>
    <row r="36" spans="1:15" x14ac:dyDescent="0.25">
      <c r="B36" s="11"/>
      <c r="C36" s="11"/>
      <c r="D36" s="11"/>
      <c r="N36" t="s">
        <v>223</v>
      </c>
    </row>
    <row r="37" spans="1:15" x14ac:dyDescent="0.25">
      <c r="B37" s="25">
        <f>SUM(B25:B36)</f>
        <v>6347513</v>
      </c>
      <c r="C37" s="25">
        <f>SUM(C25:C36)</f>
        <v>3127516.35</v>
      </c>
      <c r="D37" s="25"/>
      <c r="E37" s="12">
        <f t="shared" ref="E37:O37" si="12">SUM(E25:E35)</f>
        <v>2902621</v>
      </c>
      <c r="F37" s="12">
        <f t="shared" si="12"/>
        <v>442886.55000000005</v>
      </c>
      <c r="G37" s="12">
        <f t="shared" si="12"/>
        <v>448907.55000000005</v>
      </c>
      <c r="H37" s="12">
        <f t="shared" si="12"/>
        <v>331076.55000000005</v>
      </c>
      <c r="I37" s="12">
        <f t="shared" si="12"/>
        <v>331076.55000000005</v>
      </c>
      <c r="J37" s="12">
        <f t="shared" si="12"/>
        <v>526624.55000000005</v>
      </c>
      <c r="K37" s="12">
        <f t="shared" si="12"/>
        <v>442886.55000000005</v>
      </c>
      <c r="L37" s="12">
        <f t="shared" si="12"/>
        <v>448907.55000000005</v>
      </c>
      <c r="M37" s="12">
        <f>SUM(F37:L37)</f>
        <v>2972365.8500000006</v>
      </c>
      <c r="N37" s="12" t="s">
        <v>222</v>
      </c>
      <c r="O37" s="12">
        <f t="shared" si="12"/>
        <v>0</v>
      </c>
    </row>
    <row r="38" spans="1:15" x14ac:dyDescent="0.25">
      <c r="N38" s="12" t="s">
        <v>224</v>
      </c>
    </row>
    <row r="39" spans="1:15" x14ac:dyDescent="0.25">
      <c r="B39" s="15">
        <f>+B37*0.9</f>
        <v>5712761.7000000002</v>
      </c>
      <c r="C39" s="15"/>
      <c r="D39" s="15"/>
      <c r="E39" t="s">
        <v>68</v>
      </c>
      <c r="F39" s="150">
        <f>(E37+F37)/B37</f>
        <v>0.52705800681306203</v>
      </c>
      <c r="G39" s="151">
        <f>(E37+F37+G37)/B37</f>
        <v>0.59777980761914151</v>
      </c>
      <c r="H39" s="151">
        <f>(E37+F37+G37+H37)/B37</f>
        <v>0.64993827503779822</v>
      </c>
      <c r="I39" s="151">
        <f>(E37+F37+G37+H37+I37)/B37</f>
        <v>0.70209674245645493</v>
      </c>
      <c r="J39" s="150">
        <f>(E37+F37+G37+H37+I37+J37)/B37</f>
        <v>0.78506223618604631</v>
      </c>
      <c r="K39" s="150">
        <f>(E37+F37+G37+H37+I37+J37+K37)/$B$37</f>
        <v>0.85483547650867342</v>
      </c>
      <c r="L39" s="150">
        <f>(+E37+F37+G37+H37+I37+J37+K37+L37)/$B$37</f>
        <v>0.92555727731475279</v>
      </c>
      <c r="N39" s="18" t="s">
        <v>225</v>
      </c>
    </row>
    <row r="40" spans="1:15" x14ac:dyDescent="0.25">
      <c r="E40" t="s">
        <v>69</v>
      </c>
      <c r="F40" s="12"/>
      <c r="G40" s="12"/>
      <c r="H40" s="12"/>
      <c r="I40" s="12"/>
      <c r="J40" s="12"/>
      <c r="K40" s="12"/>
      <c r="L40" s="12"/>
    </row>
    <row r="41" spans="1:15" x14ac:dyDescent="0.25">
      <c r="B41" s="10" t="s">
        <v>143</v>
      </c>
      <c r="F41" s="152" t="s">
        <v>147</v>
      </c>
      <c r="G41" s="152" t="s">
        <v>147</v>
      </c>
      <c r="H41" s="152" t="s">
        <v>147</v>
      </c>
      <c r="I41" s="152" t="s">
        <v>147</v>
      </c>
      <c r="J41" s="152" t="s">
        <v>147</v>
      </c>
      <c r="K41" s="152" t="s">
        <v>147</v>
      </c>
      <c r="L41" s="152" t="s">
        <v>147</v>
      </c>
    </row>
    <row r="42" spans="1:15" x14ac:dyDescent="0.25">
      <c r="A42" t="s">
        <v>51</v>
      </c>
      <c r="B42" s="15">
        <v>12000</v>
      </c>
      <c r="F42" s="15">
        <f>+F25/F$23</f>
        <v>2272.6035714285713</v>
      </c>
      <c r="G42" s="15">
        <f t="shared" ref="G42:L42" si="13">+G25/G$23</f>
        <v>2199.2937788018435</v>
      </c>
      <c r="H42" s="15">
        <f t="shared" si="13"/>
        <v>2272.6035714285713</v>
      </c>
      <c r="I42" s="15">
        <f t="shared" si="13"/>
        <v>2199.2937788018435</v>
      </c>
      <c r="J42" s="15">
        <f t="shared" si="13"/>
        <v>2199.2937788018435</v>
      </c>
      <c r="K42" s="15">
        <f t="shared" si="13"/>
        <v>2272.6035714285713</v>
      </c>
      <c r="L42" s="15">
        <f t="shared" si="13"/>
        <v>2199.2937788018435</v>
      </c>
    </row>
    <row r="43" spans="1:15" x14ac:dyDescent="0.25">
      <c r="A43" t="s">
        <v>52</v>
      </c>
      <c r="B43" s="15">
        <v>3600</v>
      </c>
      <c r="C43" s="15"/>
      <c r="F43" s="15">
        <f t="shared" ref="F43:L43" si="14">+F27/F$23</f>
        <v>674.49642857142862</v>
      </c>
      <c r="G43" s="15">
        <f t="shared" si="14"/>
        <v>652.73847926267285</v>
      </c>
      <c r="H43" s="15">
        <f t="shared" si="14"/>
        <v>674.49642857142862</v>
      </c>
      <c r="I43" s="15">
        <f t="shared" si="14"/>
        <v>652.73847926267285</v>
      </c>
      <c r="J43" s="15">
        <f t="shared" si="14"/>
        <v>652.73847926267285</v>
      </c>
      <c r="K43" s="15">
        <f t="shared" si="14"/>
        <v>674.49642857142862</v>
      </c>
      <c r="L43" s="15">
        <f t="shared" si="14"/>
        <v>652.73847926267285</v>
      </c>
    </row>
    <row r="44" spans="1:15" x14ac:dyDescent="0.25">
      <c r="A44" t="s">
        <v>53</v>
      </c>
      <c r="B44" s="15">
        <v>15000</v>
      </c>
      <c r="F44" s="15">
        <f t="shared" ref="F44:L44" si="15">+F29/F$23</f>
        <v>1228.1452380952383</v>
      </c>
      <c r="G44" s="15">
        <f t="shared" si="15"/>
        <v>1188.5276497695854</v>
      </c>
      <c r="H44" s="15">
        <f t="shared" si="15"/>
        <v>1228.1452380952383</v>
      </c>
      <c r="I44" s="15">
        <f t="shared" si="15"/>
        <v>1188.5276497695854</v>
      </c>
      <c r="J44" s="15">
        <f t="shared" si="15"/>
        <v>1188.5276497695854</v>
      </c>
      <c r="K44" s="15">
        <f t="shared" si="15"/>
        <v>1228.1452380952383</v>
      </c>
      <c r="L44" s="15">
        <f t="shared" si="15"/>
        <v>1188.5276497695854</v>
      </c>
    </row>
    <row r="45" spans="1:15" x14ac:dyDescent="0.25">
      <c r="A45" t="s">
        <v>54</v>
      </c>
      <c r="B45" s="15">
        <v>5000</v>
      </c>
      <c r="C45" s="15"/>
      <c r="F45" s="15">
        <f t="shared" ref="F45:L45" si="16">+F31/F$23</f>
        <v>636.45999999999981</v>
      </c>
      <c r="G45" s="15">
        <f t="shared" si="16"/>
        <v>615.92903225806435</v>
      </c>
      <c r="H45" s="15">
        <f t="shared" si="16"/>
        <v>636.45999999999981</v>
      </c>
      <c r="I45" s="15">
        <f t="shared" si="16"/>
        <v>615.92903225806435</v>
      </c>
      <c r="J45" s="15">
        <f t="shared" si="16"/>
        <v>615.92903225806435</v>
      </c>
      <c r="K45" s="15">
        <f t="shared" si="16"/>
        <v>636.45999999999981</v>
      </c>
      <c r="L45" s="15">
        <f t="shared" si="16"/>
        <v>615.92903225806435</v>
      </c>
    </row>
    <row r="46" spans="1:15" x14ac:dyDescent="0.25">
      <c r="A46" t="s">
        <v>55</v>
      </c>
      <c r="B46" s="15">
        <v>18000</v>
      </c>
      <c r="F46" s="15">
        <f t="shared" ref="F46:L46" si="17">+F33/F$23</f>
        <v>6224.179761904762</v>
      </c>
      <c r="G46" s="15">
        <f t="shared" si="17"/>
        <v>6023.399769585254</v>
      </c>
      <c r="H46" s="15">
        <f t="shared" si="17"/>
        <v>6224.179761904762</v>
      </c>
      <c r="I46" s="15">
        <f t="shared" si="17"/>
        <v>6023.399769585254</v>
      </c>
      <c r="J46" s="391">
        <v>6023</v>
      </c>
      <c r="K46" s="15">
        <f t="shared" si="17"/>
        <v>6224.179761904762</v>
      </c>
      <c r="L46" s="15">
        <f t="shared" si="17"/>
        <v>6023.399769585254</v>
      </c>
    </row>
    <row r="47" spans="1:15" x14ac:dyDescent="0.25">
      <c r="A47" t="s">
        <v>56</v>
      </c>
      <c r="B47" s="148">
        <v>20000</v>
      </c>
      <c r="C47" s="15" t="s">
        <v>144</v>
      </c>
      <c r="F47" s="148">
        <v>3727</v>
      </c>
      <c r="G47" s="148">
        <v>3801</v>
      </c>
      <c r="H47" s="148">
        <v>0</v>
      </c>
      <c r="I47" s="148">
        <v>0</v>
      </c>
      <c r="J47" s="148">
        <v>6308</v>
      </c>
      <c r="K47" s="148">
        <v>3727</v>
      </c>
      <c r="L47" s="148">
        <v>3801</v>
      </c>
    </row>
    <row r="48" spans="1:15" x14ac:dyDescent="0.25">
      <c r="B48" s="148">
        <v>15000</v>
      </c>
      <c r="C48" s="15" t="s">
        <v>146</v>
      </c>
    </row>
    <row r="49" spans="2:12" x14ac:dyDescent="0.25">
      <c r="B49" s="148">
        <v>10000</v>
      </c>
      <c r="C49" s="15" t="s">
        <v>145</v>
      </c>
      <c r="J49" s="15">
        <f>+B35*0.95</f>
        <v>1704062.5</v>
      </c>
    </row>
    <row r="50" spans="2:12" x14ac:dyDescent="0.25">
      <c r="J50" s="15">
        <v>1123723</v>
      </c>
    </row>
    <row r="51" spans="2:12" x14ac:dyDescent="0.25">
      <c r="J51" s="12">
        <f>+J49-J50</f>
        <v>580339.5</v>
      </c>
      <c r="K51" s="15">
        <f>+J51/92</f>
        <v>6308.038043478261</v>
      </c>
    </row>
    <row r="53" spans="2:12" x14ac:dyDescent="0.25">
      <c r="J53" s="396" t="s">
        <v>250</v>
      </c>
      <c r="K53" s="396"/>
      <c r="L53" s="396"/>
    </row>
    <row r="54" spans="2:12" x14ac:dyDescent="0.25">
      <c r="J54" s="396" t="s">
        <v>251</v>
      </c>
      <c r="K54" s="396"/>
      <c r="L54" s="396"/>
    </row>
    <row r="57" spans="2:12" x14ac:dyDescent="0.25">
      <c r="D57" s="248">
        <f>28000/B35</f>
        <v>1.5609756097560976E-2</v>
      </c>
    </row>
  </sheetData>
  <phoneticPr fontId="8" type="noConversion"/>
  <pageMargins left="0.75" right="0.75" top="1" bottom="1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C1" zoomScale="70" zoomScaleNormal="70" workbookViewId="0">
      <selection activeCell="M37" sqref="M37"/>
    </sheetView>
  </sheetViews>
  <sheetFormatPr defaultRowHeight="13.8" x14ac:dyDescent="0.25"/>
  <cols>
    <col min="1" max="1" width="26.6640625" style="144" customWidth="1"/>
    <col min="2" max="3" width="18.6640625" style="144" customWidth="1"/>
    <col min="4" max="4" width="27.6640625" style="144" customWidth="1"/>
    <col min="5" max="5" width="15.6640625" style="144" customWidth="1"/>
    <col min="6" max="7" width="12.6640625" style="144" customWidth="1"/>
    <col min="8" max="8" width="17.6640625" style="144" customWidth="1"/>
    <col min="9" max="10" width="15.6640625" style="144" customWidth="1"/>
    <col min="11" max="11" width="21.109375" style="47" customWidth="1"/>
    <col min="12" max="13" width="18.6640625" style="47" customWidth="1"/>
    <col min="14" max="21" width="15.88671875" style="47" customWidth="1"/>
    <col min="22" max="256" width="9.109375" style="47"/>
    <col min="257" max="257" width="26.6640625" style="47" customWidth="1"/>
    <col min="258" max="259" width="18.6640625" style="47" customWidth="1"/>
    <col min="260" max="260" width="27.6640625" style="47" customWidth="1"/>
    <col min="261" max="261" width="15.6640625" style="47" customWidth="1"/>
    <col min="262" max="263" width="12.6640625" style="47" customWidth="1"/>
    <col min="264" max="264" width="17.6640625" style="47" customWidth="1"/>
    <col min="265" max="266" width="15.6640625" style="47" customWidth="1"/>
    <col min="267" max="269" width="18.6640625" style="47" customWidth="1"/>
    <col min="270" max="277" width="15.88671875" style="47" customWidth="1"/>
    <col min="278" max="512" width="9.109375" style="47"/>
    <col min="513" max="513" width="26.6640625" style="47" customWidth="1"/>
    <col min="514" max="515" width="18.6640625" style="47" customWidth="1"/>
    <col min="516" max="516" width="27.6640625" style="47" customWidth="1"/>
    <col min="517" max="517" width="15.6640625" style="47" customWidth="1"/>
    <col min="518" max="519" width="12.6640625" style="47" customWidth="1"/>
    <col min="520" max="520" width="17.6640625" style="47" customWidth="1"/>
    <col min="521" max="522" width="15.6640625" style="47" customWidth="1"/>
    <col min="523" max="525" width="18.6640625" style="47" customWidth="1"/>
    <col min="526" max="533" width="15.88671875" style="47" customWidth="1"/>
    <col min="534" max="768" width="9.109375" style="47"/>
    <col min="769" max="769" width="26.6640625" style="47" customWidth="1"/>
    <col min="770" max="771" width="18.6640625" style="47" customWidth="1"/>
    <col min="772" max="772" width="27.6640625" style="47" customWidth="1"/>
    <col min="773" max="773" width="15.6640625" style="47" customWidth="1"/>
    <col min="774" max="775" width="12.6640625" style="47" customWidth="1"/>
    <col min="776" max="776" width="17.6640625" style="47" customWidth="1"/>
    <col min="777" max="778" width="15.6640625" style="47" customWidth="1"/>
    <col min="779" max="781" width="18.6640625" style="47" customWidth="1"/>
    <col min="782" max="789" width="15.88671875" style="47" customWidth="1"/>
    <col min="790" max="1024" width="9.109375" style="47"/>
    <col min="1025" max="1025" width="26.6640625" style="47" customWidth="1"/>
    <col min="1026" max="1027" width="18.6640625" style="47" customWidth="1"/>
    <col min="1028" max="1028" width="27.6640625" style="47" customWidth="1"/>
    <col min="1029" max="1029" width="15.6640625" style="47" customWidth="1"/>
    <col min="1030" max="1031" width="12.6640625" style="47" customWidth="1"/>
    <col min="1032" max="1032" width="17.6640625" style="47" customWidth="1"/>
    <col min="1033" max="1034" width="15.6640625" style="47" customWidth="1"/>
    <col min="1035" max="1037" width="18.6640625" style="47" customWidth="1"/>
    <col min="1038" max="1045" width="15.88671875" style="47" customWidth="1"/>
    <col min="1046" max="1280" width="9.109375" style="47"/>
    <col min="1281" max="1281" width="26.6640625" style="47" customWidth="1"/>
    <col min="1282" max="1283" width="18.6640625" style="47" customWidth="1"/>
    <col min="1284" max="1284" width="27.6640625" style="47" customWidth="1"/>
    <col min="1285" max="1285" width="15.6640625" style="47" customWidth="1"/>
    <col min="1286" max="1287" width="12.6640625" style="47" customWidth="1"/>
    <col min="1288" max="1288" width="17.6640625" style="47" customWidth="1"/>
    <col min="1289" max="1290" width="15.6640625" style="47" customWidth="1"/>
    <col min="1291" max="1293" width="18.6640625" style="47" customWidth="1"/>
    <col min="1294" max="1301" width="15.88671875" style="47" customWidth="1"/>
    <col min="1302" max="1536" width="9.109375" style="47"/>
    <col min="1537" max="1537" width="26.6640625" style="47" customWidth="1"/>
    <col min="1538" max="1539" width="18.6640625" style="47" customWidth="1"/>
    <col min="1540" max="1540" width="27.6640625" style="47" customWidth="1"/>
    <col min="1541" max="1541" width="15.6640625" style="47" customWidth="1"/>
    <col min="1542" max="1543" width="12.6640625" style="47" customWidth="1"/>
    <col min="1544" max="1544" width="17.6640625" style="47" customWidth="1"/>
    <col min="1545" max="1546" width="15.6640625" style="47" customWidth="1"/>
    <col min="1547" max="1549" width="18.6640625" style="47" customWidth="1"/>
    <col min="1550" max="1557" width="15.88671875" style="47" customWidth="1"/>
    <col min="1558" max="1792" width="9.109375" style="47"/>
    <col min="1793" max="1793" width="26.6640625" style="47" customWidth="1"/>
    <col min="1794" max="1795" width="18.6640625" style="47" customWidth="1"/>
    <col min="1796" max="1796" width="27.6640625" style="47" customWidth="1"/>
    <col min="1797" max="1797" width="15.6640625" style="47" customWidth="1"/>
    <col min="1798" max="1799" width="12.6640625" style="47" customWidth="1"/>
    <col min="1800" max="1800" width="17.6640625" style="47" customWidth="1"/>
    <col min="1801" max="1802" width="15.6640625" style="47" customWidth="1"/>
    <col min="1803" max="1805" width="18.6640625" style="47" customWidth="1"/>
    <col min="1806" max="1813" width="15.88671875" style="47" customWidth="1"/>
    <col min="1814" max="2048" width="9.109375" style="47"/>
    <col min="2049" max="2049" width="26.6640625" style="47" customWidth="1"/>
    <col min="2050" max="2051" width="18.6640625" style="47" customWidth="1"/>
    <col min="2052" max="2052" width="27.6640625" style="47" customWidth="1"/>
    <col min="2053" max="2053" width="15.6640625" style="47" customWidth="1"/>
    <col min="2054" max="2055" width="12.6640625" style="47" customWidth="1"/>
    <col min="2056" max="2056" width="17.6640625" style="47" customWidth="1"/>
    <col min="2057" max="2058" width="15.6640625" style="47" customWidth="1"/>
    <col min="2059" max="2061" width="18.6640625" style="47" customWidth="1"/>
    <col min="2062" max="2069" width="15.88671875" style="47" customWidth="1"/>
    <col min="2070" max="2304" width="9.109375" style="47"/>
    <col min="2305" max="2305" width="26.6640625" style="47" customWidth="1"/>
    <col min="2306" max="2307" width="18.6640625" style="47" customWidth="1"/>
    <col min="2308" max="2308" width="27.6640625" style="47" customWidth="1"/>
    <col min="2309" max="2309" width="15.6640625" style="47" customWidth="1"/>
    <col min="2310" max="2311" width="12.6640625" style="47" customWidth="1"/>
    <col min="2312" max="2312" width="17.6640625" style="47" customWidth="1"/>
    <col min="2313" max="2314" width="15.6640625" style="47" customWidth="1"/>
    <col min="2315" max="2317" width="18.6640625" style="47" customWidth="1"/>
    <col min="2318" max="2325" width="15.88671875" style="47" customWidth="1"/>
    <col min="2326" max="2560" width="9.109375" style="47"/>
    <col min="2561" max="2561" width="26.6640625" style="47" customWidth="1"/>
    <col min="2562" max="2563" width="18.6640625" style="47" customWidth="1"/>
    <col min="2564" max="2564" width="27.6640625" style="47" customWidth="1"/>
    <col min="2565" max="2565" width="15.6640625" style="47" customWidth="1"/>
    <col min="2566" max="2567" width="12.6640625" style="47" customWidth="1"/>
    <col min="2568" max="2568" width="17.6640625" style="47" customWidth="1"/>
    <col min="2569" max="2570" width="15.6640625" style="47" customWidth="1"/>
    <col min="2571" max="2573" width="18.6640625" style="47" customWidth="1"/>
    <col min="2574" max="2581" width="15.88671875" style="47" customWidth="1"/>
    <col min="2582" max="2816" width="9.109375" style="47"/>
    <col min="2817" max="2817" width="26.6640625" style="47" customWidth="1"/>
    <col min="2818" max="2819" width="18.6640625" style="47" customWidth="1"/>
    <col min="2820" max="2820" width="27.6640625" style="47" customWidth="1"/>
    <col min="2821" max="2821" width="15.6640625" style="47" customWidth="1"/>
    <col min="2822" max="2823" width="12.6640625" style="47" customWidth="1"/>
    <col min="2824" max="2824" width="17.6640625" style="47" customWidth="1"/>
    <col min="2825" max="2826" width="15.6640625" style="47" customWidth="1"/>
    <col min="2827" max="2829" width="18.6640625" style="47" customWidth="1"/>
    <col min="2830" max="2837" width="15.88671875" style="47" customWidth="1"/>
    <col min="2838" max="3072" width="9.109375" style="47"/>
    <col min="3073" max="3073" width="26.6640625" style="47" customWidth="1"/>
    <col min="3074" max="3075" width="18.6640625" style="47" customWidth="1"/>
    <col min="3076" max="3076" width="27.6640625" style="47" customWidth="1"/>
    <col min="3077" max="3077" width="15.6640625" style="47" customWidth="1"/>
    <col min="3078" max="3079" width="12.6640625" style="47" customWidth="1"/>
    <col min="3080" max="3080" width="17.6640625" style="47" customWidth="1"/>
    <col min="3081" max="3082" width="15.6640625" style="47" customWidth="1"/>
    <col min="3083" max="3085" width="18.6640625" style="47" customWidth="1"/>
    <col min="3086" max="3093" width="15.88671875" style="47" customWidth="1"/>
    <col min="3094" max="3328" width="9.109375" style="47"/>
    <col min="3329" max="3329" width="26.6640625" style="47" customWidth="1"/>
    <col min="3330" max="3331" width="18.6640625" style="47" customWidth="1"/>
    <col min="3332" max="3332" width="27.6640625" style="47" customWidth="1"/>
    <col min="3333" max="3333" width="15.6640625" style="47" customWidth="1"/>
    <col min="3334" max="3335" width="12.6640625" style="47" customWidth="1"/>
    <col min="3336" max="3336" width="17.6640625" style="47" customWidth="1"/>
    <col min="3337" max="3338" width="15.6640625" style="47" customWidth="1"/>
    <col min="3339" max="3341" width="18.6640625" style="47" customWidth="1"/>
    <col min="3342" max="3349" width="15.88671875" style="47" customWidth="1"/>
    <col min="3350" max="3584" width="9.109375" style="47"/>
    <col min="3585" max="3585" width="26.6640625" style="47" customWidth="1"/>
    <col min="3586" max="3587" width="18.6640625" style="47" customWidth="1"/>
    <col min="3588" max="3588" width="27.6640625" style="47" customWidth="1"/>
    <col min="3589" max="3589" width="15.6640625" style="47" customWidth="1"/>
    <col min="3590" max="3591" width="12.6640625" style="47" customWidth="1"/>
    <col min="3592" max="3592" width="17.6640625" style="47" customWidth="1"/>
    <col min="3593" max="3594" width="15.6640625" style="47" customWidth="1"/>
    <col min="3595" max="3597" width="18.6640625" style="47" customWidth="1"/>
    <col min="3598" max="3605" width="15.88671875" style="47" customWidth="1"/>
    <col min="3606" max="3840" width="9.109375" style="47"/>
    <col min="3841" max="3841" width="26.6640625" style="47" customWidth="1"/>
    <col min="3842" max="3843" width="18.6640625" style="47" customWidth="1"/>
    <col min="3844" max="3844" width="27.6640625" style="47" customWidth="1"/>
    <col min="3845" max="3845" width="15.6640625" style="47" customWidth="1"/>
    <col min="3846" max="3847" width="12.6640625" style="47" customWidth="1"/>
    <col min="3848" max="3848" width="17.6640625" style="47" customWidth="1"/>
    <col min="3849" max="3850" width="15.6640625" style="47" customWidth="1"/>
    <col min="3851" max="3853" width="18.6640625" style="47" customWidth="1"/>
    <col min="3854" max="3861" width="15.88671875" style="47" customWidth="1"/>
    <col min="3862" max="4096" width="9.109375" style="47"/>
    <col min="4097" max="4097" width="26.6640625" style="47" customWidth="1"/>
    <col min="4098" max="4099" width="18.6640625" style="47" customWidth="1"/>
    <col min="4100" max="4100" width="27.6640625" style="47" customWidth="1"/>
    <col min="4101" max="4101" width="15.6640625" style="47" customWidth="1"/>
    <col min="4102" max="4103" width="12.6640625" style="47" customWidth="1"/>
    <col min="4104" max="4104" width="17.6640625" style="47" customWidth="1"/>
    <col min="4105" max="4106" width="15.6640625" style="47" customWidth="1"/>
    <col min="4107" max="4109" width="18.6640625" style="47" customWidth="1"/>
    <col min="4110" max="4117" width="15.88671875" style="47" customWidth="1"/>
    <col min="4118" max="4352" width="9.109375" style="47"/>
    <col min="4353" max="4353" width="26.6640625" style="47" customWidth="1"/>
    <col min="4354" max="4355" width="18.6640625" style="47" customWidth="1"/>
    <col min="4356" max="4356" width="27.6640625" style="47" customWidth="1"/>
    <col min="4357" max="4357" width="15.6640625" style="47" customWidth="1"/>
    <col min="4358" max="4359" width="12.6640625" style="47" customWidth="1"/>
    <col min="4360" max="4360" width="17.6640625" style="47" customWidth="1"/>
    <col min="4361" max="4362" width="15.6640625" style="47" customWidth="1"/>
    <col min="4363" max="4365" width="18.6640625" style="47" customWidth="1"/>
    <col min="4366" max="4373" width="15.88671875" style="47" customWidth="1"/>
    <col min="4374" max="4608" width="9.109375" style="47"/>
    <col min="4609" max="4609" width="26.6640625" style="47" customWidth="1"/>
    <col min="4610" max="4611" width="18.6640625" style="47" customWidth="1"/>
    <col min="4612" max="4612" width="27.6640625" style="47" customWidth="1"/>
    <col min="4613" max="4613" width="15.6640625" style="47" customWidth="1"/>
    <col min="4614" max="4615" width="12.6640625" style="47" customWidth="1"/>
    <col min="4616" max="4616" width="17.6640625" style="47" customWidth="1"/>
    <col min="4617" max="4618" width="15.6640625" style="47" customWidth="1"/>
    <col min="4619" max="4621" width="18.6640625" style="47" customWidth="1"/>
    <col min="4622" max="4629" width="15.88671875" style="47" customWidth="1"/>
    <col min="4630" max="4864" width="9.109375" style="47"/>
    <col min="4865" max="4865" width="26.6640625" style="47" customWidth="1"/>
    <col min="4866" max="4867" width="18.6640625" style="47" customWidth="1"/>
    <col min="4868" max="4868" width="27.6640625" style="47" customWidth="1"/>
    <col min="4869" max="4869" width="15.6640625" style="47" customWidth="1"/>
    <col min="4870" max="4871" width="12.6640625" style="47" customWidth="1"/>
    <col min="4872" max="4872" width="17.6640625" style="47" customWidth="1"/>
    <col min="4873" max="4874" width="15.6640625" style="47" customWidth="1"/>
    <col min="4875" max="4877" width="18.6640625" style="47" customWidth="1"/>
    <col min="4878" max="4885" width="15.88671875" style="47" customWidth="1"/>
    <col min="4886" max="5120" width="9.109375" style="47"/>
    <col min="5121" max="5121" width="26.6640625" style="47" customWidth="1"/>
    <col min="5122" max="5123" width="18.6640625" style="47" customWidth="1"/>
    <col min="5124" max="5124" width="27.6640625" style="47" customWidth="1"/>
    <col min="5125" max="5125" width="15.6640625" style="47" customWidth="1"/>
    <col min="5126" max="5127" width="12.6640625" style="47" customWidth="1"/>
    <col min="5128" max="5128" width="17.6640625" style="47" customWidth="1"/>
    <col min="5129" max="5130" width="15.6640625" style="47" customWidth="1"/>
    <col min="5131" max="5133" width="18.6640625" style="47" customWidth="1"/>
    <col min="5134" max="5141" width="15.88671875" style="47" customWidth="1"/>
    <col min="5142" max="5376" width="9.109375" style="47"/>
    <col min="5377" max="5377" width="26.6640625" style="47" customWidth="1"/>
    <col min="5378" max="5379" width="18.6640625" style="47" customWidth="1"/>
    <col min="5380" max="5380" width="27.6640625" style="47" customWidth="1"/>
    <col min="5381" max="5381" width="15.6640625" style="47" customWidth="1"/>
    <col min="5382" max="5383" width="12.6640625" style="47" customWidth="1"/>
    <col min="5384" max="5384" width="17.6640625" style="47" customWidth="1"/>
    <col min="5385" max="5386" width="15.6640625" style="47" customWidth="1"/>
    <col min="5387" max="5389" width="18.6640625" style="47" customWidth="1"/>
    <col min="5390" max="5397" width="15.88671875" style="47" customWidth="1"/>
    <col min="5398" max="5632" width="9.109375" style="47"/>
    <col min="5633" max="5633" width="26.6640625" style="47" customWidth="1"/>
    <col min="5634" max="5635" width="18.6640625" style="47" customWidth="1"/>
    <col min="5636" max="5636" width="27.6640625" style="47" customWidth="1"/>
    <col min="5637" max="5637" width="15.6640625" style="47" customWidth="1"/>
    <col min="5638" max="5639" width="12.6640625" style="47" customWidth="1"/>
    <col min="5640" max="5640" width="17.6640625" style="47" customWidth="1"/>
    <col min="5641" max="5642" width="15.6640625" style="47" customWidth="1"/>
    <col min="5643" max="5645" width="18.6640625" style="47" customWidth="1"/>
    <col min="5646" max="5653" width="15.88671875" style="47" customWidth="1"/>
    <col min="5654" max="5888" width="9.109375" style="47"/>
    <col min="5889" max="5889" width="26.6640625" style="47" customWidth="1"/>
    <col min="5890" max="5891" width="18.6640625" style="47" customWidth="1"/>
    <col min="5892" max="5892" width="27.6640625" style="47" customWidth="1"/>
    <col min="5893" max="5893" width="15.6640625" style="47" customWidth="1"/>
    <col min="5894" max="5895" width="12.6640625" style="47" customWidth="1"/>
    <col min="5896" max="5896" width="17.6640625" style="47" customWidth="1"/>
    <col min="5897" max="5898" width="15.6640625" style="47" customWidth="1"/>
    <col min="5899" max="5901" width="18.6640625" style="47" customWidth="1"/>
    <col min="5902" max="5909" width="15.88671875" style="47" customWidth="1"/>
    <col min="5910" max="6144" width="9.109375" style="47"/>
    <col min="6145" max="6145" width="26.6640625" style="47" customWidth="1"/>
    <col min="6146" max="6147" width="18.6640625" style="47" customWidth="1"/>
    <col min="6148" max="6148" width="27.6640625" style="47" customWidth="1"/>
    <col min="6149" max="6149" width="15.6640625" style="47" customWidth="1"/>
    <col min="6150" max="6151" width="12.6640625" style="47" customWidth="1"/>
    <col min="6152" max="6152" width="17.6640625" style="47" customWidth="1"/>
    <col min="6153" max="6154" width="15.6640625" style="47" customWidth="1"/>
    <col min="6155" max="6157" width="18.6640625" style="47" customWidth="1"/>
    <col min="6158" max="6165" width="15.88671875" style="47" customWidth="1"/>
    <col min="6166" max="6400" width="9.109375" style="47"/>
    <col min="6401" max="6401" width="26.6640625" style="47" customWidth="1"/>
    <col min="6402" max="6403" width="18.6640625" style="47" customWidth="1"/>
    <col min="6404" max="6404" width="27.6640625" style="47" customWidth="1"/>
    <col min="6405" max="6405" width="15.6640625" style="47" customWidth="1"/>
    <col min="6406" max="6407" width="12.6640625" style="47" customWidth="1"/>
    <col min="6408" max="6408" width="17.6640625" style="47" customWidth="1"/>
    <col min="6409" max="6410" width="15.6640625" style="47" customWidth="1"/>
    <col min="6411" max="6413" width="18.6640625" style="47" customWidth="1"/>
    <col min="6414" max="6421" width="15.88671875" style="47" customWidth="1"/>
    <col min="6422" max="6656" width="9.109375" style="47"/>
    <col min="6657" max="6657" width="26.6640625" style="47" customWidth="1"/>
    <col min="6658" max="6659" width="18.6640625" style="47" customWidth="1"/>
    <col min="6660" max="6660" width="27.6640625" style="47" customWidth="1"/>
    <col min="6661" max="6661" width="15.6640625" style="47" customWidth="1"/>
    <col min="6662" max="6663" width="12.6640625" style="47" customWidth="1"/>
    <col min="6664" max="6664" width="17.6640625" style="47" customWidth="1"/>
    <col min="6665" max="6666" width="15.6640625" style="47" customWidth="1"/>
    <col min="6667" max="6669" width="18.6640625" style="47" customWidth="1"/>
    <col min="6670" max="6677" width="15.88671875" style="47" customWidth="1"/>
    <col min="6678" max="6912" width="9.109375" style="47"/>
    <col min="6913" max="6913" width="26.6640625" style="47" customWidth="1"/>
    <col min="6914" max="6915" width="18.6640625" style="47" customWidth="1"/>
    <col min="6916" max="6916" width="27.6640625" style="47" customWidth="1"/>
    <col min="6917" max="6917" width="15.6640625" style="47" customWidth="1"/>
    <col min="6918" max="6919" width="12.6640625" style="47" customWidth="1"/>
    <col min="6920" max="6920" width="17.6640625" style="47" customWidth="1"/>
    <col min="6921" max="6922" width="15.6640625" style="47" customWidth="1"/>
    <col min="6923" max="6925" width="18.6640625" style="47" customWidth="1"/>
    <col min="6926" max="6933" width="15.88671875" style="47" customWidth="1"/>
    <col min="6934" max="7168" width="9.109375" style="47"/>
    <col min="7169" max="7169" width="26.6640625" style="47" customWidth="1"/>
    <col min="7170" max="7171" width="18.6640625" style="47" customWidth="1"/>
    <col min="7172" max="7172" width="27.6640625" style="47" customWidth="1"/>
    <col min="7173" max="7173" width="15.6640625" style="47" customWidth="1"/>
    <col min="7174" max="7175" width="12.6640625" style="47" customWidth="1"/>
    <col min="7176" max="7176" width="17.6640625" style="47" customWidth="1"/>
    <col min="7177" max="7178" width="15.6640625" style="47" customWidth="1"/>
    <col min="7179" max="7181" width="18.6640625" style="47" customWidth="1"/>
    <col min="7182" max="7189" width="15.88671875" style="47" customWidth="1"/>
    <col min="7190" max="7424" width="9.109375" style="47"/>
    <col min="7425" max="7425" width="26.6640625" style="47" customWidth="1"/>
    <col min="7426" max="7427" width="18.6640625" style="47" customWidth="1"/>
    <col min="7428" max="7428" width="27.6640625" style="47" customWidth="1"/>
    <col min="7429" max="7429" width="15.6640625" style="47" customWidth="1"/>
    <col min="7430" max="7431" width="12.6640625" style="47" customWidth="1"/>
    <col min="7432" max="7432" width="17.6640625" style="47" customWidth="1"/>
    <col min="7433" max="7434" width="15.6640625" style="47" customWidth="1"/>
    <col min="7435" max="7437" width="18.6640625" style="47" customWidth="1"/>
    <col min="7438" max="7445" width="15.88671875" style="47" customWidth="1"/>
    <col min="7446" max="7680" width="9.109375" style="47"/>
    <col min="7681" max="7681" width="26.6640625" style="47" customWidth="1"/>
    <col min="7682" max="7683" width="18.6640625" style="47" customWidth="1"/>
    <col min="7684" max="7684" width="27.6640625" style="47" customWidth="1"/>
    <col min="7685" max="7685" width="15.6640625" style="47" customWidth="1"/>
    <col min="7686" max="7687" width="12.6640625" style="47" customWidth="1"/>
    <col min="7688" max="7688" width="17.6640625" style="47" customWidth="1"/>
    <col min="7689" max="7690" width="15.6640625" style="47" customWidth="1"/>
    <col min="7691" max="7693" width="18.6640625" style="47" customWidth="1"/>
    <col min="7694" max="7701" width="15.88671875" style="47" customWidth="1"/>
    <col min="7702" max="7936" width="9.109375" style="47"/>
    <col min="7937" max="7937" width="26.6640625" style="47" customWidth="1"/>
    <col min="7938" max="7939" width="18.6640625" style="47" customWidth="1"/>
    <col min="7940" max="7940" width="27.6640625" style="47" customWidth="1"/>
    <col min="7941" max="7941" width="15.6640625" style="47" customWidth="1"/>
    <col min="7942" max="7943" width="12.6640625" style="47" customWidth="1"/>
    <col min="7944" max="7944" width="17.6640625" style="47" customWidth="1"/>
    <col min="7945" max="7946" width="15.6640625" style="47" customWidth="1"/>
    <col min="7947" max="7949" width="18.6640625" style="47" customWidth="1"/>
    <col min="7950" max="7957" width="15.88671875" style="47" customWidth="1"/>
    <col min="7958" max="8192" width="9.109375" style="47"/>
    <col min="8193" max="8193" width="26.6640625" style="47" customWidth="1"/>
    <col min="8194" max="8195" width="18.6640625" style="47" customWidth="1"/>
    <col min="8196" max="8196" width="27.6640625" style="47" customWidth="1"/>
    <col min="8197" max="8197" width="15.6640625" style="47" customWidth="1"/>
    <col min="8198" max="8199" width="12.6640625" style="47" customWidth="1"/>
    <col min="8200" max="8200" width="17.6640625" style="47" customWidth="1"/>
    <col min="8201" max="8202" width="15.6640625" style="47" customWidth="1"/>
    <col min="8203" max="8205" width="18.6640625" style="47" customWidth="1"/>
    <col min="8206" max="8213" width="15.88671875" style="47" customWidth="1"/>
    <col min="8214" max="8448" width="9.109375" style="47"/>
    <col min="8449" max="8449" width="26.6640625" style="47" customWidth="1"/>
    <col min="8450" max="8451" width="18.6640625" style="47" customWidth="1"/>
    <col min="8452" max="8452" width="27.6640625" style="47" customWidth="1"/>
    <col min="8453" max="8453" width="15.6640625" style="47" customWidth="1"/>
    <col min="8454" max="8455" width="12.6640625" style="47" customWidth="1"/>
    <col min="8456" max="8456" width="17.6640625" style="47" customWidth="1"/>
    <col min="8457" max="8458" width="15.6640625" style="47" customWidth="1"/>
    <col min="8459" max="8461" width="18.6640625" style="47" customWidth="1"/>
    <col min="8462" max="8469" width="15.88671875" style="47" customWidth="1"/>
    <col min="8470" max="8704" width="9.109375" style="47"/>
    <col min="8705" max="8705" width="26.6640625" style="47" customWidth="1"/>
    <col min="8706" max="8707" width="18.6640625" style="47" customWidth="1"/>
    <col min="8708" max="8708" width="27.6640625" style="47" customWidth="1"/>
    <col min="8709" max="8709" width="15.6640625" style="47" customWidth="1"/>
    <col min="8710" max="8711" width="12.6640625" style="47" customWidth="1"/>
    <col min="8712" max="8712" width="17.6640625" style="47" customWidth="1"/>
    <col min="8713" max="8714" width="15.6640625" style="47" customWidth="1"/>
    <col min="8715" max="8717" width="18.6640625" style="47" customWidth="1"/>
    <col min="8718" max="8725" width="15.88671875" style="47" customWidth="1"/>
    <col min="8726" max="8960" width="9.109375" style="47"/>
    <col min="8961" max="8961" width="26.6640625" style="47" customWidth="1"/>
    <col min="8962" max="8963" width="18.6640625" style="47" customWidth="1"/>
    <col min="8964" max="8964" width="27.6640625" style="47" customWidth="1"/>
    <col min="8965" max="8965" width="15.6640625" style="47" customWidth="1"/>
    <col min="8966" max="8967" width="12.6640625" style="47" customWidth="1"/>
    <col min="8968" max="8968" width="17.6640625" style="47" customWidth="1"/>
    <col min="8969" max="8970" width="15.6640625" style="47" customWidth="1"/>
    <col min="8971" max="8973" width="18.6640625" style="47" customWidth="1"/>
    <col min="8974" max="8981" width="15.88671875" style="47" customWidth="1"/>
    <col min="8982" max="9216" width="9.109375" style="47"/>
    <col min="9217" max="9217" width="26.6640625" style="47" customWidth="1"/>
    <col min="9218" max="9219" width="18.6640625" style="47" customWidth="1"/>
    <col min="9220" max="9220" width="27.6640625" style="47" customWidth="1"/>
    <col min="9221" max="9221" width="15.6640625" style="47" customWidth="1"/>
    <col min="9222" max="9223" width="12.6640625" style="47" customWidth="1"/>
    <col min="9224" max="9224" width="17.6640625" style="47" customWidth="1"/>
    <col min="9225" max="9226" width="15.6640625" style="47" customWidth="1"/>
    <col min="9227" max="9229" width="18.6640625" style="47" customWidth="1"/>
    <col min="9230" max="9237" width="15.88671875" style="47" customWidth="1"/>
    <col min="9238" max="9472" width="9.109375" style="47"/>
    <col min="9473" max="9473" width="26.6640625" style="47" customWidth="1"/>
    <col min="9474" max="9475" width="18.6640625" style="47" customWidth="1"/>
    <col min="9476" max="9476" width="27.6640625" style="47" customWidth="1"/>
    <col min="9477" max="9477" width="15.6640625" style="47" customWidth="1"/>
    <col min="9478" max="9479" width="12.6640625" style="47" customWidth="1"/>
    <col min="9480" max="9480" width="17.6640625" style="47" customWidth="1"/>
    <col min="9481" max="9482" width="15.6640625" style="47" customWidth="1"/>
    <col min="9483" max="9485" width="18.6640625" style="47" customWidth="1"/>
    <col min="9486" max="9493" width="15.88671875" style="47" customWidth="1"/>
    <col min="9494" max="9728" width="9.109375" style="47"/>
    <col min="9729" max="9729" width="26.6640625" style="47" customWidth="1"/>
    <col min="9730" max="9731" width="18.6640625" style="47" customWidth="1"/>
    <col min="9732" max="9732" width="27.6640625" style="47" customWidth="1"/>
    <col min="9733" max="9733" width="15.6640625" style="47" customWidth="1"/>
    <col min="9734" max="9735" width="12.6640625" style="47" customWidth="1"/>
    <col min="9736" max="9736" width="17.6640625" style="47" customWidth="1"/>
    <col min="9737" max="9738" width="15.6640625" style="47" customWidth="1"/>
    <col min="9739" max="9741" width="18.6640625" style="47" customWidth="1"/>
    <col min="9742" max="9749" width="15.88671875" style="47" customWidth="1"/>
    <col min="9750" max="9984" width="9.109375" style="47"/>
    <col min="9985" max="9985" width="26.6640625" style="47" customWidth="1"/>
    <col min="9986" max="9987" width="18.6640625" style="47" customWidth="1"/>
    <col min="9988" max="9988" width="27.6640625" style="47" customWidth="1"/>
    <col min="9989" max="9989" width="15.6640625" style="47" customWidth="1"/>
    <col min="9990" max="9991" width="12.6640625" style="47" customWidth="1"/>
    <col min="9992" max="9992" width="17.6640625" style="47" customWidth="1"/>
    <col min="9993" max="9994" width="15.6640625" style="47" customWidth="1"/>
    <col min="9995" max="9997" width="18.6640625" style="47" customWidth="1"/>
    <col min="9998" max="10005" width="15.88671875" style="47" customWidth="1"/>
    <col min="10006" max="10240" width="9.109375" style="47"/>
    <col min="10241" max="10241" width="26.6640625" style="47" customWidth="1"/>
    <col min="10242" max="10243" width="18.6640625" style="47" customWidth="1"/>
    <col min="10244" max="10244" width="27.6640625" style="47" customWidth="1"/>
    <col min="10245" max="10245" width="15.6640625" style="47" customWidth="1"/>
    <col min="10246" max="10247" width="12.6640625" style="47" customWidth="1"/>
    <col min="10248" max="10248" width="17.6640625" style="47" customWidth="1"/>
    <col min="10249" max="10250" width="15.6640625" style="47" customWidth="1"/>
    <col min="10251" max="10253" width="18.6640625" style="47" customWidth="1"/>
    <col min="10254" max="10261" width="15.88671875" style="47" customWidth="1"/>
    <col min="10262" max="10496" width="9.109375" style="47"/>
    <col min="10497" max="10497" width="26.6640625" style="47" customWidth="1"/>
    <col min="10498" max="10499" width="18.6640625" style="47" customWidth="1"/>
    <col min="10500" max="10500" width="27.6640625" style="47" customWidth="1"/>
    <col min="10501" max="10501" width="15.6640625" style="47" customWidth="1"/>
    <col min="10502" max="10503" width="12.6640625" style="47" customWidth="1"/>
    <col min="10504" max="10504" width="17.6640625" style="47" customWidth="1"/>
    <col min="10505" max="10506" width="15.6640625" style="47" customWidth="1"/>
    <col min="10507" max="10509" width="18.6640625" style="47" customWidth="1"/>
    <col min="10510" max="10517" width="15.88671875" style="47" customWidth="1"/>
    <col min="10518" max="10752" width="9.109375" style="47"/>
    <col min="10753" max="10753" width="26.6640625" style="47" customWidth="1"/>
    <col min="10754" max="10755" width="18.6640625" style="47" customWidth="1"/>
    <col min="10756" max="10756" width="27.6640625" style="47" customWidth="1"/>
    <col min="10757" max="10757" width="15.6640625" style="47" customWidth="1"/>
    <col min="10758" max="10759" width="12.6640625" style="47" customWidth="1"/>
    <col min="10760" max="10760" width="17.6640625" style="47" customWidth="1"/>
    <col min="10761" max="10762" width="15.6640625" style="47" customWidth="1"/>
    <col min="10763" max="10765" width="18.6640625" style="47" customWidth="1"/>
    <col min="10766" max="10773" width="15.88671875" style="47" customWidth="1"/>
    <col min="10774" max="11008" width="9.109375" style="47"/>
    <col min="11009" max="11009" width="26.6640625" style="47" customWidth="1"/>
    <col min="11010" max="11011" width="18.6640625" style="47" customWidth="1"/>
    <col min="11012" max="11012" width="27.6640625" style="47" customWidth="1"/>
    <col min="11013" max="11013" width="15.6640625" style="47" customWidth="1"/>
    <col min="11014" max="11015" width="12.6640625" style="47" customWidth="1"/>
    <col min="11016" max="11016" width="17.6640625" style="47" customWidth="1"/>
    <col min="11017" max="11018" width="15.6640625" style="47" customWidth="1"/>
    <col min="11019" max="11021" width="18.6640625" style="47" customWidth="1"/>
    <col min="11022" max="11029" width="15.88671875" style="47" customWidth="1"/>
    <col min="11030" max="11264" width="9.109375" style="47"/>
    <col min="11265" max="11265" width="26.6640625" style="47" customWidth="1"/>
    <col min="11266" max="11267" width="18.6640625" style="47" customWidth="1"/>
    <col min="11268" max="11268" width="27.6640625" style="47" customWidth="1"/>
    <col min="11269" max="11269" width="15.6640625" style="47" customWidth="1"/>
    <col min="11270" max="11271" width="12.6640625" style="47" customWidth="1"/>
    <col min="11272" max="11272" width="17.6640625" style="47" customWidth="1"/>
    <col min="11273" max="11274" width="15.6640625" style="47" customWidth="1"/>
    <col min="11275" max="11277" width="18.6640625" style="47" customWidth="1"/>
    <col min="11278" max="11285" width="15.88671875" style="47" customWidth="1"/>
    <col min="11286" max="11520" width="9.109375" style="47"/>
    <col min="11521" max="11521" width="26.6640625" style="47" customWidth="1"/>
    <col min="11522" max="11523" width="18.6640625" style="47" customWidth="1"/>
    <col min="11524" max="11524" width="27.6640625" style="47" customWidth="1"/>
    <col min="11525" max="11525" width="15.6640625" style="47" customWidth="1"/>
    <col min="11526" max="11527" width="12.6640625" style="47" customWidth="1"/>
    <col min="11528" max="11528" width="17.6640625" style="47" customWidth="1"/>
    <col min="11529" max="11530" width="15.6640625" style="47" customWidth="1"/>
    <col min="11531" max="11533" width="18.6640625" style="47" customWidth="1"/>
    <col min="11534" max="11541" width="15.88671875" style="47" customWidth="1"/>
    <col min="11542" max="11776" width="9.109375" style="47"/>
    <col min="11777" max="11777" width="26.6640625" style="47" customWidth="1"/>
    <col min="11778" max="11779" width="18.6640625" style="47" customWidth="1"/>
    <col min="11780" max="11780" width="27.6640625" style="47" customWidth="1"/>
    <col min="11781" max="11781" width="15.6640625" style="47" customWidth="1"/>
    <col min="11782" max="11783" width="12.6640625" style="47" customWidth="1"/>
    <col min="11784" max="11784" width="17.6640625" style="47" customWidth="1"/>
    <col min="11785" max="11786" width="15.6640625" style="47" customWidth="1"/>
    <col min="11787" max="11789" width="18.6640625" style="47" customWidth="1"/>
    <col min="11790" max="11797" width="15.88671875" style="47" customWidth="1"/>
    <col min="11798" max="12032" width="9.109375" style="47"/>
    <col min="12033" max="12033" width="26.6640625" style="47" customWidth="1"/>
    <col min="12034" max="12035" width="18.6640625" style="47" customWidth="1"/>
    <col min="12036" max="12036" width="27.6640625" style="47" customWidth="1"/>
    <col min="12037" max="12037" width="15.6640625" style="47" customWidth="1"/>
    <col min="12038" max="12039" width="12.6640625" style="47" customWidth="1"/>
    <col min="12040" max="12040" width="17.6640625" style="47" customWidth="1"/>
    <col min="12041" max="12042" width="15.6640625" style="47" customWidth="1"/>
    <col min="12043" max="12045" width="18.6640625" style="47" customWidth="1"/>
    <col min="12046" max="12053" width="15.88671875" style="47" customWidth="1"/>
    <col min="12054" max="12288" width="9.109375" style="47"/>
    <col min="12289" max="12289" width="26.6640625" style="47" customWidth="1"/>
    <col min="12290" max="12291" width="18.6640625" style="47" customWidth="1"/>
    <col min="12292" max="12292" width="27.6640625" style="47" customWidth="1"/>
    <col min="12293" max="12293" width="15.6640625" style="47" customWidth="1"/>
    <col min="12294" max="12295" width="12.6640625" style="47" customWidth="1"/>
    <col min="12296" max="12296" width="17.6640625" style="47" customWidth="1"/>
    <col min="12297" max="12298" width="15.6640625" style="47" customWidth="1"/>
    <col min="12299" max="12301" width="18.6640625" style="47" customWidth="1"/>
    <col min="12302" max="12309" width="15.88671875" style="47" customWidth="1"/>
    <col min="12310" max="12544" width="9.109375" style="47"/>
    <col min="12545" max="12545" width="26.6640625" style="47" customWidth="1"/>
    <col min="12546" max="12547" width="18.6640625" style="47" customWidth="1"/>
    <col min="12548" max="12548" width="27.6640625" style="47" customWidth="1"/>
    <col min="12549" max="12549" width="15.6640625" style="47" customWidth="1"/>
    <col min="12550" max="12551" width="12.6640625" style="47" customWidth="1"/>
    <col min="12552" max="12552" width="17.6640625" style="47" customWidth="1"/>
    <col min="12553" max="12554" width="15.6640625" style="47" customWidth="1"/>
    <col min="12555" max="12557" width="18.6640625" style="47" customWidth="1"/>
    <col min="12558" max="12565" width="15.88671875" style="47" customWidth="1"/>
    <col min="12566" max="12800" width="9.109375" style="47"/>
    <col min="12801" max="12801" width="26.6640625" style="47" customWidth="1"/>
    <col min="12802" max="12803" width="18.6640625" style="47" customWidth="1"/>
    <col min="12804" max="12804" width="27.6640625" style="47" customWidth="1"/>
    <col min="12805" max="12805" width="15.6640625" style="47" customWidth="1"/>
    <col min="12806" max="12807" width="12.6640625" style="47" customWidth="1"/>
    <col min="12808" max="12808" width="17.6640625" style="47" customWidth="1"/>
    <col min="12809" max="12810" width="15.6640625" style="47" customWidth="1"/>
    <col min="12811" max="12813" width="18.6640625" style="47" customWidth="1"/>
    <col min="12814" max="12821" width="15.88671875" style="47" customWidth="1"/>
    <col min="12822" max="13056" width="9.109375" style="47"/>
    <col min="13057" max="13057" width="26.6640625" style="47" customWidth="1"/>
    <col min="13058" max="13059" width="18.6640625" style="47" customWidth="1"/>
    <col min="13060" max="13060" width="27.6640625" style="47" customWidth="1"/>
    <col min="13061" max="13061" width="15.6640625" style="47" customWidth="1"/>
    <col min="13062" max="13063" width="12.6640625" style="47" customWidth="1"/>
    <col min="13064" max="13064" width="17.6640625" style="47" customWidth="1"/>
    <col min="13065" max="13066" width="15.6640625" style="47" customWidth="1"/>
    <col min="13067" max="13069" width="18.6640625" style="47" customWidth="1"/>
    <col min="13070" max="13077" width="15.88671875" style="47" customWidth="1"/>
    <col min="13078" max="13312" width="9.109375" style="47"/>
    <col min="13313" max="13313" width="26.6640625" style="47" customWidth="1"/>
    <col min="13314" max="13315" width="18.6640625" style="47" customWidth="1"/>
    <col min="13316" max="13316" width="27.6640625" style="47" customWidth="1"/>
    <col min="13317" max="13317" width="15.6640625" style="47" customWidth="1"/>
    <col min="13318" max="13319" width="12.6640625" style="47" customWidth="1"/>
    <col min="13320" max="13320" width="17.6640625" style="47" customWidth="1"/>
    <col min="13321" max="13322" width="15.6640625" style="47" customWidth="1"/>
    <col min="13323" max="13325" width="18.6640625" style="47" customWidth="1"/>
    <col min="13326" max="13333" width="15.88671875" style="47" customWidth="1"/>
    <col min="13334" max="13568" width="9.109375" style="47"/>
    <col min="13569" max="13569" width="26.6640625" style="47" customWidth="1"/>
    <col min="13570" max="13571" width="18.6640625" style="47" customWidth="1"/>
    <col min="13572" max="13572" width="27.6640625" style="47" customWidth="1"/>
    <col min="13573" max="13573" width="15.6640625" style="47" customWidth="1"/>
    <col min="13574" max="13575" width="12.6640625" style="47" customWidth="1"/>
    <col min="13576" max="13576" width="17.6640625" style="47" customWidth="1"/>
    <col min="13577" max="13578" width="15.6640625" style="47" customWidth="1"/>
    <col min="13579" max="13581" width="18.6640625" style="47" customWidth="1"/>
    <col min="13582" max="13589" width="15.88671875" style="47" customWidth="1"/>
    <col min="13590" max="13824" width="9.109375" style="47"/>
    <col min="13825" max="13825" width="26.6640625" style="47" customWidth="1"/>
    <col min="13826" max="13827" width="18.6640625" style="47" customWidth="1"/>
    <col min="13828" max="13828" width="27.6640625" style="47" customWidth="1"/>
    <col min="13829" max="13829" width="15.6640625" style="47" customWidth="1"/>
    <col min="13830" max="13831" width="12.6640625" style="47" customWidth="1"/>
    <col min="13832" max="13832" width="17.6640625" style="47" customWidth="1"/>
    <col min="13833" max="13834" width="15.6640625" style="47" customWidth="1"/>
    <col min="13835" max="13837" width="18.6640625" style="47" customWidth="1"/>
    <col min="13838" max="13845" width="15.88671875" style="47" customWidth="1"/>
    <col min="13846" max="14080" width="9.109375" style="47"/>
    <col min="14081" max="14081" width="26.6640625" style="47" customWidth="1"/>
    <col min="14082" max="14083" width="18.6640625" style="47" customWidth="1"/>
    <col min="14084" max="14084" width="27.6640625" style="47" customWidth="1"/>
    <col min="14085" max="14085" width="15.6640625" style="47" customWidth="1"/>
    <col min="14086" max="14087" width="12.6640625" style="47" customWidth="1"/>
    <col min="14088" max="14088" width="17.6640625" style="47" customWidth="1"/>
    <col min="14089" max="14090" width="15.6640625" style="47" customWidth="1"/>
    <col min="14091" max="14093" width="18.6640625" style="47" customWidth="1"/>
    <col min="14094" max="14101" width="15.88671875" style="47" customWidth="1"/>
    <col min="14102" max="14336" width="9.109375" style="47"/>
    <col min="14337" max="14337" width="26.6640625" style="47" customWidth="1"/>
    <col min="14338" max="14339" width="18.6640625" style="47" customWidth="1"/>
    <col min="14340" max="14340" width="27.6640625" style="47" customWidth="1"/>
    <col min="14341" max="14341" width="15.6640625" style="47" customWidth="1"/>
    <col min="14342" max="14343" width="12.6640625" style="47" customWidth="1"/>
    <col min="14344" max="14344" width="17.6640625" style="47" customWidth="1"/>
    <col min="14345" max="14346" width="15.6640625" style="47" customWidth="1"/>
    <col min="14347" max="14349" width="18.6640625" style="47" customWidth="1"/>
    <col min="14350" max="14357" width="15.88671875" style="47" customWidth="1"/>
    <col min="14358" max="14592" width="9.109375" style="47"/>
    <col min="14593" max="14593" width="26.6640625" style="47" customWidth="1"/>
    <col min="14594" max="14595" width="18.6640625" style="47" customWidth="1"/>
    <col min="14596" max="14596" width="27.6640625" style="47" customWidth="1"/>
    <col min="14597" max="14597" width="15.6640625" style="47" customWidth="1"/>
    <col min="14598" max="14599" width="12.6640625" style="47" customWidth="1"/>
    <col min="14600" max="14600" width="17.6640625" style="47" customWidth="1"/>
    <col min="14601" max="14602" width="15.6640625" style="47" customWidth="1"/>
    <col min="14603" max="14605" width="18.6640625" style="47" customWidth="1"/>
    <col min="14606" max="14613" width="15.88671875" style="47" customWidth="1"/>
    <col min="14614" max="14848" width="9.109375" style="47"/>
    <col min="14849" max="14849" width="26.6640625" style="47" customWidth="1"/>
    <col min="14850" max="14851" width="18.6640625" style="47" customWidth="1"/>
    <col min="14852" max="14852" width="27.6640625" style="47" customWidth="1"/>
    <col min="14853" max="14853" width="15.6640625" style="47" customWidth="1"/>
    <col min="14854" max="14855" width="12.6640625" style="47" customWidth="1"/>
    <col min="14856" max="14856" width="17.6640625" style="47" customWidth="1"/>
    <col min="14857" max="14858" width="15.6640625" style="47" customWidth="1"/>
    <col min="14859" max="14861" width="18.6640625" style="47" customWidth="1"/>
    <col min="14862" max="14869" width="15.88671875" style="47" customWidth="1"/>
    <col min="14870" max="15104" width="9.109375" style="47"/>
    <col min="15105" max="15105" width="26.6640625" style="47" customWidth="1"/>
    <col min="15106" max="15107" width="18.6640625" style="47" customWidth="1"/>
    <col min="15108" max="15108" width="27.6640625" style="47" customWidth="1"/>
    <col min="15109" max="15109" width="15.6640625" style="47" customWidth="1"/>
    <col min="15110" max="15111" width="12.6640625" style="47" customWidth="1"/>
    <col min="15112" max="15112" width="17.6640625" style="47" customWidth="1"/>
    <col min="15113" max="15114" width="15.6640625" style="47" customWidth="1"/>
    <col min="15115" max="15117" width="18.6640625" style="47" customWidth="1"/>
    <col min="15118" max="15125" width="15.88671875" style="47" customWidth="1"/>
    <col min="15126" max="15360" width="9.109375" style="47"/>
    <col min="15361" max="15361" width="26.6640625" style="47" customWidth="1"/>
    <col min="15362" max="15363" width="18.6640625" style="47" customWidth="1"/>
    <col min="15364" max="15364" width="27.6640625" style="47" customWidth="1"/>
    <col min="15365" max="15365" width="15.6640625" style="47" customWidth="1"/>
    <col min="15366" max="15367" width="12.6640625" style="47" customWidth="1"/>
    <col min="15368" max="15368" width="17.6640625" style="47" customWidth="1"/>
    <col min="15369" max="15370" width="15.6640625" style="47" customWidth="1"/>
    <col min="15371" max="15373" width="18.6640625" style="47" customWidth="1"/>
    <col min="15374" max="15381" width="15.88671875" style="47" customWidth="1"/>
    <col min="15382" max="15616" width="9.109375" style="47"/>
    <col min="15617" max="15617" width="26.6640625" style="47" customWidth="1"/>
    <col min="15618" max="15619" width="18.6640625" style="47" customWidth="1"/>
    <col min="15620" max="15620" width="27.6640625" style="47" customWidth="1"/>
    <col min="15621" max="15621" width="15.6640625" style="47" customWidth="1"/>
    <col min="15622" max="15623" width="12.6640625" style="47" customWidth="1"/>
    <col min="15624" max="15624" width="17.6640625" style="47" customWidth="1"/>
    <col min="15625" max="15626" width="15.6640625" style="47" customWidth="1"/>
    <col min="15627" max="15629" width="18.6640625" style="47" customWidth="1"/>
    <col min="15630" max="15637" width="15.88671875" style="47" customWidth="1"/>
    <col min="15638" max="15872" width="9.109375" style="47"/>
    <col min="15873" max="15873" width="26.6640625" style="47" customWidth="1"/>
    <col min="15874" max="15875" width="18.6640625" style="47" customWidth="1"/>
    <col min="15876" max="15876" width="27.6640625" style="47" customWidth="1"/>
    <col min="15877" max="15877" width="15.6640625" style="47" customWidth="1"/>
    <col min="15878" max="15879" width="12.6640625" style="47" customWidth="1"/>
    <col min="15880" max="15880" width="17.6640625" style="47" customWidth="1"/>
    <col min="15881" max="15882" width="15.6640625" style="47" customWidth="1"/>
    <col min="15883" max="15885" width="18.6640625" style="47" customWidth="1"/>
    <col min="15886" max="15893" width="15.88671875" style="47" customWidth="1"/>
    <col min="15894" max="16128" width="9.109375" style="47"/>
    <col min="16129" max="16129" width="26.6640625" style="47" customWidth="1"/>
    <col min="16130" max="16131" width="18.6640625" style="47" customWidth="1"/>
    <col min="16132" max="16132" width="27.6640625" style="47" customWidth="1"/>
    <col min="16133" max="16133" width="15.6640625" style="47" customWidth="1"/>
    <col min="16134" max="16135" width="12.6640625" style="47" customWidth="1"/>
    <col min="16136" max="16136" width="17.6640625" style="47" customWidth="1"/>
    <col min="16137" max="16138" width="15.6640625" style="47" customWidth="1"/>
    <col min="16139" max="16141" width="18.6640625" style="47" customWidth="1"/>
    <col min="16142" max="16149" width="15.88671875" style="47" customWidth="1"/>
    <col min="16150" max="16384" width="9.109375" style="47"/>
  </cols>
  <sheetData>
    <row r="1" spans="1:21" ht="17.399999999999999" x14ac:dyDescent="0.25">
      <c r="A1" s="443" t="s">
        <v>60</v>
      </c>
      <c r="B1" s="444"/>
      <c r="C1" s="444"/>
      <c r="D1" s="444"/>
      <c r="E1" s="444"/>
      <c r="F1" s="444"/>
      <c r="G1" s="444"/>
      <c r="H1" s="444"/>
      <c r="I1" s="444"/>
      <c r="J1" s="445"/>
      <c r="K1" s="443" t="s">
        <v>60</v>
      </c>
      <c r="L1" s="444"/>
      <c r="M1" s="444"/>
      <c r="N1" s="444"/>
      <c r="O1" s="444"/>
      <c r="P1" s="444"/>
      <c r="Q1" s="444"/>
      <c r="R1" s="444"/>
      <c r="S1" s="444"/>
      <c r="T1" s="444"/>
      <c r="U1" s="445"/>
    </row>
    <row r="2" spans="1:21" ht="17.399999999999999" x14ac:dyDescent="0.25">
      <c r="A2" s="446" t="s">
        <v>190</v>
      </c>
      <c r="B2" s="447"/>
      <c r="C2" s="447"/>
      <c r="D2" s="447"/>
      <c r="E2" s="447"/>
      <c r="F2" s="447"/>
      <c r="G2" s="447"/>
      <c r="H2" s="447"/>
      <c r="I2" s="447"/>
      <c r="J2" s="448"/>
      <c r="K2" s="446" t="s">
        <v>191</v>
      </c>
      <c r="L2" s="447"/>
      <c r="M2" s="447"/>
      <c r="N2" s="447"/>
      <c r="O2" s="447"/>
      <c r="P2" s="447"/>
      <c r="Q2" s="447"/>
      <c r="R2" s="447"/>
      <c r="S2" s="447"/>
      <c r="T2" s="447"/>
      <c r="U2" s="448"/>
    </row>
    <row r="3" spans="1:21" x14ac:dyDescent="0.25">
      <c r="A3" s="48"/>
      <c r="B3" s="49"/>
      <c r="C3"/>
      <c r="D3" s="449" t="s">
        <v>192</v>
      </c>
      <c r="E3" s="449"/>
      <c r="F3" s="449"/>
      <c r="G3"/>
      <c r="H3" s="49"/>
      <c r="I3" s="49"/>
      <c r="J3" s="50"/>
      <c r="K3" s="48"/>
      <c r="L3" s="49"/>
      <c r="M3"/>
      <c r="N3" s="449" t="s">
        <v>192</v>
      </c>
      <c r="O3" s="449"/>
      <c r="P3" s="449"/>
      <c r="Q3" s="449"/>
      <c r="R3"/>
      <c r="S3"/>
      <c r="T3" s="49"/>
      <c r="U3" s="50"/>
    </row>
    <row r="4" spans="1:21" x14ac:dyDescent="0.25">
      <c r="A4" s="51"/>
      <c r="B4" s="52"/>
      <c r="C4" s="52"/>
      <c r="D4" s="52"/>
      <c r="E4" s="52"/>
      <c r="F4" s="450" t="s">
        <v>70</v>
      </c>
      <c r="G4" s="450"/>
      <c r="H4" s="450"/>
      <c r="I4" s="450"/>
      <c r="J4" s="451"/>
      <c r="K4" s="53"/>
      <c r="L4" s="54"/>
      <c r="M4" s="54"/>
      <c r="N4" s="54"/>
      <c r="O4" s="54"/>
      <c r="P4" s="54"/>
      <c r="Q4" s="54"/>
      <c r="R4" s="54"/>
      <c r="S4" s="54"/>
      <c r="T4" s="54"/>
      <c r="U4" s="55"/>
    </row>
    <row r="5" spans="1:21" ht="15" customHeight="1" x14ac:dyDescent="0.25">
      <c r="A5" s="56" t="s">
        <v>71</v>
      </c>
      <c r="B5" s="452" t="s">
        <v>72</v>
      </c>
      <c r="C5" s="453"/>
      <c r="D5" s="57" t="s">
        <v>73</v>
      </c>
      <c r="E5" s="58"/>
      <c r="F5" s="57" t="s">
        <v>74</v>
      </c>
      <c r="G5" s="59"/>
      <c r="H5" s="171" t="s">
        <v>75</v>
      </c>
      <c r="I5" s="60" t="s">
        <v>70</v>
      </c>
      <c r="J5" s="60"/>
      <c r="K5" s="56" t="s">
        <v>71</v>
      </c>
      <c r="L5" s="454" t="s">
        <v>72</v>
      </c>
      <c r="M5" s="455"/>
      <c r="N5" s="57" t="s">
        <v>76</v>
      </c>
      <c r="O5" s="59"/>
      <c r="P5" s="456" t="s">
        <v>193</v>
      </c>
      <c r="Q5" s="457"/>
      <c r="R5" s="457"/>
      <c r="S5" s="457"/>
      <c r="T5" s="457"/>
      <c r="U5" s="458"/>
    </row>
    <row r="6" spans="1:21" x14ac:dyDescent="0.25">
      <c r="A6" s="61" t="s">
        <v>77</v>
      </c>
      <c r="B6" s="465" t="s">
        <v>78</v>
      </c>
      <c r="C6" s="466"/>
      <c r="D6" s="62" t="s">
        <v>79</v>
      </c>
      <c r="E6" s="63">
        <v>0.98213099999999998</v>
      </c>
      <c r="F6" s="64" t="s">
        <v>194</v>
      </c>
      <c r="G6" s="65"/>
      <c r="H6" s="66">
        <v>71.103075151750261</v>
      </c>
      <c r="I6" s="67" t="s">
        <v>70</v>
      </c>
      <c r="J6" s="68"/>
      <c r="K6" s="61" t="s">
        <v>77</v>
      </c>
      <c r="L6" s="467" t="s">
        <v>78</v>
      </c>
      <c r="M6" s="468"/>
      <c r="N6" s="69">
        <v>53671</v>
      </c>
      <c r="O6" s="70"/>
      <c r="P6" s="459"/>
      <c r="Q6" s="460"/>
      <c r="R6" s="460"/>
      <c r="S6" s="460"/>
      <c r="T6" s="460"/>
      <c r="U6" s="461"/>
    </row>
    <row r="7" spans="1:21" x14ac:dyDescent="0.25">
      <c r="A7" s="61" t="s">
        <v>80</v>
      </c>
      <c r="B7" s="469" t="s">
        <v>81</v>
      </c>
      <c r="C7" s="468"/>
      <c r="D7" s="71" t="s">
        <v>82</v>
      </c>
      <c r="E7" s="72">
        <v>1057.194</v>
      </c>
      <c r="F7" s="64" t="s">
        <v>195</v>
      </c>
      <c r="G7" s="65"/>
      <c r="H7" s="73">
        <v>59.608962966929766</v>
      </c>
      <c r="I7" s="74" t="s">
        <v>70</v>
      </c>
      <c r="J7" s="75"/>
      <c r="K7" s="76" t="s">
        <v>80</v>
      </c>
      <c r="L7" s="470" t="s">
        <v>81</v>
      </c>
      <c r="M7" s="471"/>
      <c r="N7" s="57"/>
      <c r="O7" s="59"/>
      <c r="P7" s="462"/>
      <c r="Q7" s="463"/>
      <c r="R7" s="463"/>
      <c r="S7" s="463"/>
      <c r="T7" s="463"/>
      <c r="U7" s="464"/>
    </row>
    <row r="8" spans="1:21" ht="15.6" x14ac:dyDescent="0.3">
      <c r="A8" s="61" t="s">
        <v>83</v>
      </c>
      <c r="B8" s="478" t="s">
        <v>196</v>
      </c>
      <c r="C8" s="479"/>
      <c r="D8" s="71" t="s">
        <v>84</v>
      </c>
      <c r="E8" s="72">
        <v>2072.1002399999998</v>
      </c>
      <c r="F8" s="64"/>
      <c r="G8" s="65"/>
      <c r="H8" s="60" t="s">
        <v>85</v>
      </c>
      <c r="I8" s="77" t="s">
        <v>70</v>
      </c>
      <c r="J8" s="60" t="s">
        <v>86</v>
      </c>
      <c r="K8" s="78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15.6" x14ac:dyDescent="0.25">
      <c r="A9" s="61" t="s">
        <v>87</v>
      </c>
      <c r="B9" s="478" t="s">
        <v>88</v>
      </c>
      <c r="C9" s="479"/>
      <c r="D9" s="71" t="s">
        <v>89</v>
      </c>
      <c r="E9" s="81">
        <v>53671</v>
      </c>
      <c r="F9" s="64" t="s">
        <v>90</v>
      </c>
      <c r="G9" s="65"/>
      <c r="H9" s="73">
        <v>60.4</v>
      </c>
      <c r="I9" s="82">
        <v>37644</v>
      </c>
      <c r="J9" s="83">
        <v>45037</v>
      </c>
      <c r="K9" s="480" t="s">
        <v>91</v>
      </c>
      <c r="L9" s="481"/>
      <c r="M9" s="481"/>
      <c r="N9" s="481"/>
      <c r="O9" s="481"/>
      <c r="P9" s="481"/>
      <c r="Q9" s="481"/>
      <c r="R9" s="481"/>
      <c r="S9" s="481"/>
      <c r="T9" s="481"/>
      <c r="U9" s="482"/>
    </row>
    <row r="10" spans="1:21" x14ac:dyDescent="0.25">
      <c r="A10" s="61" t="s">
        <v>92</v>
      </c>
      <c r="B10" s="469" t="s">
        <v>93</v>
      </c>
      <c r="C10" s="468"/>
      <c r="D10" s="71" t="s">
        <v>94</v>
      </c>
      <c r="E10" s="72">
        <v>0</v>
      </c>
      <c r="F10" s="84" t="s">
        <v>95</v>
      </c>
      <c r="G10" s="85"/>
      <c r="H10" s="86">
        <v>60</v>
      </c>
      <c r="I10" s="87">
        <v>41645</v>
      </c>
      <c r="J10" s="88">
        <v>44713</v>
      </c>
      <c r="K10" s="89"/>
      <c r="L10" s="90" t="s">
        <v>96</v>
      </c>
      <c r="M10" s="91"/>
      <c r="N10" s="90" t="s">
        <v>97</v>
      </c>
      <c r="O10" s="91"/>
      <c r="P10" s="90" t="s">
        <v>98</v>
      </c>
      <c r="Q10" s="91"/>
      <c r="R10" s="90" t="s">
        <v>99</v>
      </c>
      <c r="S10" s="91"/>
      <c r="T10" s="90" t="s">
        <v>100</v>
      </c>
      <c r="U10" s="92"/>
    </row>
    <row r="11" spans="1:21" ht="15" customHeight="1" x14ac:dyDescent="0.25">
      <c r="A11" s="483" t="s">
        <v>197</v>
      </c>
      <c r="B11" s="484"/>
      <c r="C11" s="485"/>
      <c r="D11" s="93" t="s">
        <v>101</v>
      </c>
      <c r="E11" s="94">
        <v>53671</v>
      </c>
      <c r="F11" s="57" t="s">
        <v>102</v>
      </c>
      <c r="G11" s="59"/>
      <c r="H11" s="171" t="s">
        <v>103</v>
      </c>
      <c r="I11" s="60" t="s">
        <v>104</v>
      </c>
      <c r="J11" s="60" t="s">
        <v>105</v>
      </c>
      <c r="K11" s="95" t="s">
        <v>106</v>
      </c>
      <c r="L11" s="171" t="s">
        <v>107</v>
      </c>
      <c r="M11" s="171" t="s">
        <v>48</v>
      </c>
      <c r="N11" s="171" t="s">
        <v>107</v>
      </c>
      <c r="O11" s="171" t="s">
        <v>48</v>
      </c>
      <c r="P11" s="171" t="s">
        <v>107</v>
      </c>
      <c r="Q11" s="171" t="s">
        <v>48</v>
      </c>
      <c r="R11" s="171" t="s">
        <v>107</v>
      </c>
      <c r="S11" s="171" t="s">
        <v>48</v>
      </c>
      <c r="T11" s="171" t="s">
        <v>107</v>
      </c>
      <c r="U11" s="171" t="s">
        <v>48</v>
      </c>
    </row>
    <row r="12" spans="1:21" x14ac:dyDescent="0.25">
      <c r="A12" s="486"/>
      <c r="B12" s="487"/>
      <c r="C12" s="488"/>
      <c r="D12" s="58" t="s">
        <v>108</v>
      </c>
      <c r="E12" s="96"/>
      <c r="F12" s="56" t="s">
        <v>109</v>
      </c>
      <c r="G12" s="56"/>
      <c r="H12" s="97">
        <v>3106995.6237268616</v>
      </c>
      <c r="I12" s="97">
        <v>187648.87474556029</v>
      </c>
      <c r="J12" s="97">
        <v>3294644.4984724219</v>
      </c>
      <c r="K12" s="61" t="s">
        <v>62</v>
      </c>
      <c r="L12" s="98">
        <v>941.99999999999955</v>
      </c>
      <c r="M12" s="99">
        <v>666771.97712662746</v>
      </c>
      <c r="N12" s="98">
        <v>1036.2000000000003</v>
      </c>
      <c r="O12" s="99">
        <v>722074.05818819278</v>
      </c>
      <c r="P12" s="98">
        <v>1130.4000000000001</v>
      </c>
      <c r="Q12" s="99">
        <v>777376.13924975786</v>
      </c>
      <c r="R12" s="98">
        <v>847.79999999999973</v>
      </c>
      <c r="S12" s="99">
        <v>611469.89606506226</v>
      </c>
      <c r="T12" s="98">
        <v>753.60000000000014</v>
      </c>
      <c r="U12" s="99">
        <v>556167.81500349694</v>
      </c>
    </row>
    <row r="13" spans="1:21" x14ac:dyDescent="0.25">
      <c r="A13" s="486"/>
      <c r="B13" s="487"/>
      <c r="C13" s="488"/>
      <c r="D13" s="100" t="s">
        <v>110</v>
      </c>
      <c r="E13" s="99">
        <f>+E31</f>
        <v>54000</v>
      </c>
      <c r="F13" s="65" t="s">
        <v>111</v>
      </c>
      <c r="G13" s="61"/>
      <c r="H13" s="101">
        <v>2441890.18976678</v>
      </c>
      <c r="I13" s="101">
        <v>82975.879453531379</v>
      </c>
      <c r="J13" s="101">
        <v>2524866.0692203115</v>
      </c>
      <c r="K13" s="61" t="s">
        <v>63</v>
      </c>
      <c r="L13" s="81">
        <v>723.00000000000023</v>
      </c>
      <c r="M13" s="72">
        <v>521478.11611254048</v>
      </c>
      <c r="N13" s="81">
        <v>795.30000000000064</v>
      </c>
      <c r="O13" s="72">
        <v>564142.8068222882</v>
      </c>
      <c r="P13" s="81">
        <v>867.60000000000048</v>
      </c>
      <c r="Q13" s="72">
        <v>606807.49753203557</v>
      </c>
      <c r="R13" s="81">
        <v>650.70000000000016</v>
      </c>
      <c r="S13" s="72">
        <v>478813.42540279269</v>
      </c>
      <c r="T13" s="81">
        <v>578.40000000000043</v>
      </c>
      <c r="U13" s="72">
        <v>436148.73469304509</v>
      </c>
    </row>
    <row r="14" spans="1:21" ht="15" customHeight="1" x14ac:dyDescent="0.25">
      <c r="A14" s="486"/>
      <c r="B14" s="487"/>
      <c r="C14" s="488"/>
      <c r="D14" s="102" t="s">
        <v>112</v>
      </c>
      <c r="E14" s="72">
        <f>+E13-E11</f>
        <v>329</v>
      </c>
      <c r="F14" s="492" t="s">
        <v>198</v>
      </c>
      <c r="G14" s="484"/>
      <c r="H14" s="484"/>
      <c r="I14" s="484"/>
      <c r="J14" s="485"/>
      <c r="K14" s="61" t="s">
        <v>64</v>
      </c>
      <c r="L14" s="81">
        <v>523</v>
      </c>
      <c r="M14" s="72">
        <v>369215.95890774339</v>
      </c>
      <c r="N14" s="81">
        <v>575.29999999999995</v>
      </c>
      <c r="O14" s="72">
        <v>400219.70810744388</v>
      </c>
      <c r="P14" s="81">
        <v>627.59999999999991</v>
      </c>
      <c r="Q14" s="72">
        <v>431223.4573071443</v>
      </c>
      <c r="R14" s="81">
        <v>470.7</v>
      </c>
      <c r="S14" s="72">
        <v>338212.20970804297</v>
      </c>
      <c r="T14" s="81">
        <v>418.4</v>
      </c>
      <c r="U14" s="72">
        <v>307208.46050834242</v>
      </c>
    </row>
    <row r="15" spans="1:21" x14ac:dyDescent="0.25">
      <c r="A15" s="486"/>
      <c r="B15" s="487"/>
      <c r="C15" s="488"/>
      <c r="D15" s="102" t="s">
        <v>113</v>
      </c>
      <c r="E15" s="103">
        <f>+E14/E11</f>
        <v>6.12993981852397E-3</v>
      </c>
      <c r="F15" s="486"/>
      <c r="G15" s="487"/>
      <c r="H15" s="487"/>
      <c r="I15" s="487"/>
      <c r="J15" s="488"/>
      <c r="K15" s="61" t="s">
        <v>34</v>
      </c>
      <c r="L15" s="81">
        <v>244.99999999999997</v>
      </c>
      <c r="M15" s="72">
        <v>178113.4938774755</v>
      </c>
      <c r="N15" s="81">
        <v>269.5</v>
      </c>
      <c r="O15" s="72">
        <v>194250.24437985601</v>
      </c>
      <c r="P15" s="81">
        <v>293.99999999999989</v>
      </c>
      <c r="Q15" s="72">
        <v>210386.9948822365</v>
      </c>
      <c r="R15" s="81">
        <v>220.50000000000011</v>
      </c>
      <c r="S15" s="72">
        <v>161976.74337509501</v>
      </c>
      <c r="T15" s="81">
        <v>196</v>
      </c>
      <c r="U15" s="72">
        <v>145839.9928727145</v>
      </c>
    </row>
    <row r="16" spans="1:21" x14ac:dyDescent="0.25">
      <c r="A16" s="489"/>
      <c r="B16" s="490"/>
      <c r="C16" s="491"/>
      <c r="D16" s="104"/>
      <c r="E16" s="105"/>
      <c r="F16" s="489"/>
      <c r="G16" s="490"/>
      <c r="H16" s="490"/>
      <c r="I16" s="490"/>
      <c r="J16" s="491"/>
      <c r="K16" s="61" t="s">
        <v>35</v>
      </c>
      <c r="L16" s="81">
        <v>63.999999999999972</v>
      </c>
      <c r="M16" s="72">
        <v>92189.640646401109</v>
      </c>
      <c r="N16" s="81">
        <v>70.399999999999977</v>
      </c>
      <c r="O16" s="72">
        <v>96515.018060259812</v>
      </c>
      <c r="P16" s="81">
        <v>76.800000000000054</v>
      </c>
      <c r="Q16" s="72">
        <v>100840.39547411853</v>
      </c>
      <c r="R16" s="81">
        <v>57.599999999999987</v>
      </c>
      <c r="S16" s="72">
        <v>87864.26323254242</v>
      </c>
      <c r="T16" s="81">
        <v>51.200000000000031</v>
      </c>
      <c r="U16" s="72">
        <v>83538.885818683688</v>
      </c>
    </row>
    <row r="17" spans="1:21" x14ac:dyDescent="0.25">
      <c r="A17" s="2"/>
      <c r="B17" s="3"/>
      <c r="C17" s="3"/>
      <c r="D17" s="3"/>
      <c r="E17" s="106"/>
      <c r="F17" s="107"/>
      <c r="G17" s="3"/>
      <c r="H17" s="3"/>
      <c r="I17" s="3"/>
      <c r="J17" s="4"/>
      <c r="K17" s="61" t="s">
        <v>36</v>
      </c>
      <c r="L17" s="81">
        <v>3.9999999999999987</v>
      </c>
      <c r="M17" s="72">
        <v>66084.8493326764</v>
      </c>
      <c r="N17" s="81">
        <v>4.3999999999999959</v>
      </c>
      <c r="O17" s="72">
        <v>66385.070009127376</v>
      </c>
      <c r="P17" s="81">
        <v>4.8000000000000016</v>
      </c>
      <c r="Q17" s="72">
        <v>66685.290685578293</v>
      </c>
      <c r="R17" s="81">
        <v>3.6</v>
      </c>
      <c r="S17" s="72">
        <v>65784.628656225483</v>
      </c>
      <c r="T17" s="81">
        <v>3.199999999999998</v>
      </c>
      <c r="U17" s="72">
        <v>65484.407979774551</v>
      </c>
    </row>
    <row r="18" spans="1:21" ht="15.6" x14ac:dyDescent="0.3">
      <c r="A18" s="493" t="s">
        <v>114</v>
      </c>
      <c r="B18" s="494"/>
      <c r="C18" s="494"/>
      <c r="D18" s="494"/>
      <c r="E18" s="494"/>
      <c r="F18" s="494"/>
      <c r="G18" s="494"/>
      <c r="H18" s="494"/>
      <c r="I18" s="494"/>
      <c r="J18" s="495"/>
      <c r="K18" s="61" t="s">
        <v>37</v>
      </c>
      <c r="L18" s="81">
        <v>0</v>
      </c>
      <c r="M18" s="72">
        <v>61053.27260241472</v>
      </c>
      <c r="N18" s="81">
        <v>0</v>
      </c>
      <c r="O18" s="72">
        <v>61059.658813596718</v>
      </c>
      <c r="P18" s="81">
        <v>0</v>
      </c>
      <c r="Q18" s="72">
        <v>61066.04502477873</v>
      </c>
      <c r="R18" s="81">
        <v>0</v>
      </c>
      <c r="S18" s="72">
        <v>61046.886391232692</v>
      </c>
      <c r="T18" s="81">
        <v>0</v>
      </c>
      <c r="U18" s="72">
        <v>61040.500180050694</v>
      </c>
    </row>
    <row r="19" spans="1:21" x14ac:dyDescent="0.25">
      <c r="A19" s="60" t="s">
        <v>67</v>
      </c>
      <c r="B19" s="472" t="s">
        <v>115</v>
      </c>
      <c r="C19" s="473"/>
      <c r="D19" s="474"/>
      <c r="E19" s="60" t="s">
        <v>116</v>
      </c>
      <c r="F19" s="472" t="s">
        <v>117</v>
      </c>
      <c r="G19" s="475"/>
      <c r="H19" s="476"/>
      <c r="I19" s="476"/>
      <c r="J19" s="477"/>
      <c r="K19" s="61" t="s">
        <v>38</v>
      </c>
      <c r="L19" s="81">
        <v>0.99999999999999922</v>
      </c>
      <c r="M19" s="72">
        <v>62193.974042102789</v>
      </c>
      <c r="N19" s="81">
        <v>1.1000000000000001</v>
      </c>
      <c r="O19" s="72">
        <v>62257.235278459069</v>
      </c>
      <c r="P19" s="81">
        <v>1.1999999999999988</v>
      </c>
      <c r="Q19" s="72">
        <v>62320.496514815364</v>
      </c>
      <c r="R19" s="81">
        <v>0.8999999999999998</v>
      </c>
      <c r="S19" s="72">
        <v>62130.712805746516</v>
      </c>
      <c r="T19" s="81">
        <v>0.79999999999999949</v>
      </c>
      <c r="U19" s="72">
        <v>62067.45156939025</v>
      </c>
    </row>
    <row r="20" spans="1:21" x14ac:dyDescent="0.25">
      <c r="A20" s="108" t="s">
        <v>32</v>
      </c>
      <c r="B20" s="109" t="s">
        <v>118</v>
      </c>
      <c r="C20" s="110"/>
      <c r="D20" s="111"/>
      <c r="E20" s="72">
        <f>5000</f>
        <v>5000</v>
      </c>
      <c r="F20" s="112" t="s">
        <v>141</v>
      </c>
      <c r="G20" s="112"/>
      <c r="H20" s="112"/>
      <c r="I20" s="112"/>
      <c r="J20" s="113"/>
      <c r="K20" s="61" t="s">
        <v>39</v>
      </c>
      <c r="L20" s="81">
        <v>38</v>
      </c>
      <c r="M20" s="72">
        <v>73318.337268451069</v>
      </c>
      <c r="N20" s="81">
        <v>41.79999999999999</v>
      </c>
      <c r="O20" s="72">
        <v>75612.658040394614</v>
      </c>
      <c r="P20" s="81">
        <v>45.6</v>
      </c>
      <c r="Q20" s="72">
        <v>77906.978812338144</v>
      </c>
      <c r="R20" s="81">
        <v>34.200000000000003</v>
      </c>
      <c r="S20" s="72">
        <v>71024.016496507538</v>
      </c>
      <c r="T20" s="81">
        <v>30.399999999999991</v>
      </c>
      <c r="U20" s="72">
        <v>68729.695724564008</v>
      </c>
    </row>
    <row r="21" spans="1:21" x14ac:dyDescent="0.25">
      <c r="A21" s="114" t="s">
        <v>119</v>
      </c>
      <c r="B21" s="115" t="s">
        <v>120</v>
      </c>
      <c r="C21" s="116"/>
      <c r="D21" s="117"/>
      <c r="E21" s="72">
        <v>44500</v>
      </c>
      <c r="F21" s="112" t="s">
        <v>166</v>
      </c>
      <c r="G21" s="112"/>
      <c r="H21" s="112"/>
      <c r="I21" s="112"/>
      <c r="J21" s="113"/>
      <c r="K21" s="61" t="s">
        <v>40</v>
      </c>
      <c r="L21" s="81">
        <v>228</v>
      </c>
      <c r="M21" s="72">
        <v>132151.86619056039</v>
      </c>
      <c r="N21" s="81">
        <v>250.80000000000004</v>
      </c>
      <c r="O21" s="72">
        <v>146584.75061167384</v>
      </c>
      <c r="P21" s="81">
        <v>273.60000000000002</v>
      </c>
      <c r="Q21" s="72">
        <v>161017.63503278728</v>
      </c>
      <c r="R21" s="81">
        <v>205.2</v>
      </c>
      <c r="S21" s="72">
        <v>117718.98176944692</v>
      </c>
      <c r="T21" s="81">
        <v>182.40000000000003</v>
      </c>
      <c r="U21" s="72">
        <v>103286.09734833347</v>
      </c>
    </row>
    <row r="22" spans="1:21" x14ac:dyDescent="0.25">
      <c r="A22" s="172" t="s">
        <v>199</v>
      </c>
      <c r="B22" s="173"/>
      <c r="C22" s="174"/>
      <c r="D22" s="175"/>
      <c r="E22" s="176">
        <v>1000</v>
      </c>
      <c r="F22" s="112" t="s">
        <v>200</v>
      </c>
      <c r="G22" s="112"/>
      <c r="H22" s="112"/>
      <c r="I22" s="112"/>
      <c r="J22" s="113"/>
      <c r="K22" s="61" t="s">
        <v>65</v>
      </c>
      <c r="L22" s="81">
        <v>510</v>
      </c>
      <c r="M22" s="72">
        <v>314387.09631295333</v>
      </c>
      <c r="N22" s="81">
        <v>560.99999999999989</v>
      </c>
      <c r="O22" s="72">
        <v>344029.36939269269</v>
      </c>
      <c r="P22" s="81">
        <v>612</v>
      </c>
      <c r="Q22" s="72">
        <v>373671.64247243188</v>
      </c>
      <c r="R22" s="81">
        <v>459</v>
      </c>
      <c r="S22" s="72">
        <v>284744.82323321397</v>
      </c>
      <c r="T22" s="81">
        <v>408</v>
      </c>
      <c r="U22" s="72">
        <v>255102.55015347479</v>
      </c>
    </row>
    <row r="23" spans="1:21" x14ac:dyDescent="0.25">
      <c r="A23" s="172" t="s">
        <v>201</v>
      </c>
      <c r="B23" s="173"/>
      <c r="C23" s="174"/>
      <c r="D23" s="175"/>
      <c r="E23" s="176">
        <v>1200</v>
      </c>
      <c r="F23" s="112" t="s">
        <v>200</v>
      </c>
      <c r="G23" s="112"/>
      <c r="H23" s="112"/>
      <c r="I23" s="112"/>
      <c r="J23" s="113"/>
      <c r="K23" s="61" t="s">
        <v>66</v>
      </c>
      <c r="L23" s="81">
        <v>854</v>
      </c>
      <c r="M23" s="72">
        <v>570037.04130691523</v>
      </c>
      <c r="N23" s="81">
        <v>939.39999999999986</v>
      </c>
      <c r="O23" s="72">
        <v>619915.81671705958</v>
      </c>
      <c r="P23" s="81">
        <v>1024.7999999999997</v>
      </c>
      <c r="Q23" s="72">
        <v>669794.59212720371</v>
      </c>
      <c r="R23" s="81">
        <v>768.60000000000014</v>
      </c>
      <c r="S23" s="72">
        <v>520158.26589677099</v>
      </c>
      <c r="T23" s="81">
        <v>683.19999999999993</v>
      </c>
      <c r="U23" s="72">
        <v>470279.49048662675</v>
      </c>
    </row>
    <row r="24" spans="1:21" x14ac:dyDescent="0.25">
      <c r="A24" s="172" t="s">
        <v>202</v>
      </c>
      <c r="B24" s="173"/>
      <c r="C24" s="174"/>
      <c r="D24" s="175"/>
      <c r="E24" s="176">
        <v>2300</v>
      </c>
      <c r="F24" s="174" t="s">
        <v>203</v>
      </c>
      <c r="G24" s="112"/>
      <c r="H24" s="112"/>
      <c r="I24" s="112"/>
      <c r="J24" s="113"/>
      <c r="K24" s="118" t="s">
        <v>121</v>
      </c>
      <c r="L24" s="119">
        <v>4132</v>
      </c>
      <c r="M24" s="119">
        <v>3106995.6237268616</v>
      </c>
      <c r="N24" s="119">
        <v>4545.2000000000016</v>
      </c>
      <c r="O24" s="119">
        <v>3353046.3944210447</v>
      </c>
      <c r="P24" s="119">
        <v>4958.3999999999996</v>
      </c>
      <c r="Q24" s="119">
        <v>3599097.165115227</v>
      </c>
      <c r="R24" s="119">
        <v>3718.8</v>
      </c>
      <c r="S24" s="119">
        <v>2860944.8530326798</v>
      </c>
      <c r="T24" s="119">
        <v>3305.6000000000004</v>
      </c>
      <c r="U24" s="119">
        <v>2614894.082338497</v>
      </c>
    </row>
    <row r="25" spans="1:21" x14ac:dyDescent="0.25">
      <c r="A25" s="114"/>
      <c r="B25" s="115"/>
      <c r="C25" s="116"/>
      <c r="D25" s="117"/>
      <c r="E25" s="72"/>
      <c r="F25" s="112"/>
      <c r="G25" s="112"/>
      <c r="H25" s="112"/>
      <c r="I25" s="112"/>
      <c r="J25" s="113"/>
      <c r="K25" s="118" t="s">
        <v>122</v>
      </c>
      <c r="L25" s="119">
        <v>3552</v>
      </c>
      <c r="M25" s="119">
        <v>2441890.18976678</v>
      </c>
      <c r="N25" s="119">
        <v>3907.2000000000007</v>
      </c>
      <c r="O25" s="119">
        <v>2650381.7592276772</v>
      </c>
      <c r="P25" s="119">
        <v>4262.3999999999996</v>
      </c>
      <c r="Q25" s="119">
        <v>2858873.3286885731</v>
      </c>
      <c r="R25" s="119">
        <v>3196.8</v>
      </c>
      <c r="S25" s="119">
        <v>2233398.6203058828</v>
      </c>
      <c r="T25" s="119">
        <v>2841.6000000000004</v>
      </c>
      <c r="U25" s="119">
        <v>2024907.050844986</v>
      </c>
    </row>
    <row r="26" spans="1:21" x14ac:dyDescent="0.25">
      <c r="A26" s="114"/>
      <c r="B26" s="115"/>
      <c r="C26" s="116"/>
      <c r="D26" s="117"/>
      <c r="E26" s="72"/>
      <c r="F26" s="112"/>
      <c r="G26" s="112"/>
      <c r="H26" s="112"/>
      <c r="I26" s="112"/>
      <c r="J26" s="113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2"/>
    </row>
    <row r="27" spans="1:21" ht="15.6" x14ac:dyDescent="0.25">
      <c r="A27" s="114"/>
      <c r="B27" s="115"/>
      <c r="C27" s="116"/>
      <c r="D27" s="117"/>
      <c r="E27" s="72"/>
      <c r="F27" s="112"/>
      <c r="G27" s="112"/>
      <c r="H27" s="112"/>
      <c r="I27" s="112"/>
      <c r="J27" s="113"/>
      <c r="K27" s="480" t="s">
        <v>123</v>
      </c>
      <c r="L27" s="481"/>
      <c r="M27" s="481"/>
      <c r="N27" s="481"/>
      <c r="O27" s="481"/>
      <c r="P27" s="481"/>
      <c r="Q27" s="481"/>
      <c r="R27" s="481"/>
      <c r="S27" s="481"/>
      <c r="T27" s="481"/>
      <c r="U27" s="482"/>
    </row>
    <row r="28" spans="1:21" x14ac:dyDescent="0.25">
      <c r="A28" s="114"/>
      <c r="B28" s="115"/>
      <c r="C28" s="116"/>
      <c r="D28" s="117"/>
      <c r="E28" s="72"/>
      <c r="F28" s="112"/>
      <c r="G28" s="112"/>
      <c r="H28" s="112"/>
      <c r="I28" s="112"/>
      <c r="J28" s="113"/>
      <c r="K28" s="89"/>
      <c r="L28" s="90" t="s">
        <v>96</v>
      </c>
      <c r="M28" s="91"/>
      <c r="N28" s="90" t="s">
        <v>97</v>
      </c>
      <c r="O28" s="91"/>
      <c r="P28" s="90" t="s">
        <v>98</v>
      </c>
      <c r="Q28" s="91"/>
      <c r="R28" s="90" t="s">
        <v>99</v>
      </c>
      <c r="S28" s="91"/>
      <c r="T28" s="90" t="s">
        <v>100</v>
      </c>
      <c r="U28" s="92"/>
    </row>
    <row r="29" spans="1:21" x14ac:dyDescent="0.25">
      <c r="A29" s="114"/>
      <c r="B29" s="115"/>
      <c r="C29" s="116"/>
      <c r="D29" s="117"/>
      <c r="E29" s="72"/>
      <c r="F29" s="112"/>
      <c r="G29" s="112"/>
      <c r="H29" s="112"/>
      <c r="I29" s="112"/>
      <c r="J29" s="113"/>
      <c r="K29" s="95" t="s">
        <v>106</v>
      </c>
      <c r="L29" s="171" t="s">
        <v>107</v>
      </c>
      <c r="M29" s="171" t="s">
        <v>48</v>
      </c>
      <c r="N29" s="171" t="s">
        <v>107</v>
      </c>
      <c r="O29" s="171" t="s">
        <v>48</v>
      </c>
      <c r="P29" s="171" t="s">
        <v>107</v>
      </c>
      <c r="Q29" s="171" t="s">
        <v>48</v>
      </c>
      <c r="R29" s="171" t="s">
        <v>107</v>
      </c>
      <c r="S29" s="171" t="s">
        <v>48</v>
      </c>
      <c r="T29" s="171" t="s">
        <v>107</v>
      </c>
      <c r="U29" s="171" t="s">
        <v>48</v>
      </c>
    </row>
    <row r="30" spans="1:21" x14ac:dyDescent="0.25">
      <c r="A30" s="123"/>
      <c r="B30" s="124"/>
      <c r="C30" s="125"/>
      <c r="D30" s="126"/>
      <c r="E30" s="127"/>
      <c r="F30" s="112"/>
      <c r="G30" s="112"/>
      <c r="H30" s="112"/>
      <c r="I30" s="112"/>
      <c r="J30" s="113"/>
      <c r="K30" s="61" t="s">
        <v>62</v>
      </c>
      <c r="L30" s="98">
        <v>941.99999999999955</v>
      </c>
      <c r="M30" s="99">
        <v>15975.690380440506</v>
      </c>
      <c r="N30" s="98">
        <v>1036.2000000000003</v>
      </c>
      <c r="O30" s="99">
        <v>16509.612626834911</v>
      </c>
      <c r="P30" s="98">
        <v>1130.4000000000001</v>
      </c>
      <c r="Q30" s="99">
        <v>17043.534873229321</v>
      </c>
      <c r="R30" s="98">
        <v>847.79999999999973</v>
      </c>
      <c r="S30" s="99">
        <v>15441.768134046095</v>
      </c>
      <c r="T30" s="98">
        <v>753.60000000000014</v>
      </c>
      <c r="U30" s="99">
        <v>14907.845887651687</v>
      </c>
    </row>
    <row r="31" spans="1:21" x14ac:dyDescent="0.25">
      <c r="A31" s="128"/>
      <c r="B31" s="129"/>
      <c r="C31" s="129"/>
      <c r="D31" s="129" t="s">
        <v>124</v>
      </c>
      <c r="E31" s="130">
        <f>SUM(E20:E30)</f>
        <v>54000</v>
      </c>
      <c r="F31" s="131"/>
      <c r="G31" s="131"/>
      <c r="H31" s="131"/>
      <c r="I31" s="131"/>
      <c r="J31" s="132"/>
      <c r="K31" s="61" t="s">
        <v>63</v>
      </c>
      <c r="L31" s="81">
        <v>723.00000000000023</v>
      </c>
      <c r="M31" s="72">
        <v>20584.474307013701</v>
      </c>
      <c r="N31" s="81">
        <v>795.30000000000064</v>
      </c>
      <c r="O31" s="72">
        <v>20983.328147736313</v>
      </c>
      <c r="P31" s="81">
        <v>867.60000000000048</v>
      </c>
      <c r="Q31" s="72">
        <v>21382.18198845892</v>
      </c>
      <c r="R31" s="81">
        <v>650.70000000000016</v>
      </c>
      <c r="S31" s="72">
        <v>20185.62046629109</v>
      </c>
      <c r="T31" s="81">
        <v>578.40000000000043</v>
      </c>
      <c r="U31" s="72">
        <v>19786.766625568478</v>
      </c>
    </row>
    <row r="32" spans="1:21" x14ac:dyDescent="0.25">
      <c r="A32" s="133"/>
      <c r="B32" s="134"/>
      <c r="C32" s="134"/>
      <c r="D32" s="135"/>
      <c r="E32" s="136"/>
      <c r="F32" s="137"/>
      <c r="G32" s="137"/>
      <c r="H32" s="137"/>
      <c r="I32" s="137"/>
      <c r="J32" s="138"/>
      <c r="K32" s="61" t="s">
        <v>64</v>
      </c>
      <c r="L32" s="81">
        <v>523</v>
      </c>
      <c r="M32" s="72">
        <v>16183.336169655655</v>
      </c>
      <c r="N32" s="81">
        <v>575.29999999999995</v>
      </c>
      <c r="O32" s="72">
        <v>16464.288857042549</v>
      </c>
      <c r="P32" s="81">
        <v>627.59999999999991</v>
      </c>
      <c r="Q32" s="72">
        <v>16745.241544429435</v>
      </c>
      <c r="R32" s="81">
        <v>470.7</v>
      </c>
      <c r="S32" s="72">
        <v>15902.383482268768</v>
      </c>
      <c r="T32" s="81">
        <v>418.4</v>
      </c>
      <c r="U32" s="72">
        <v>15621.430794881879</v>
      </c>
    </row>
    <row r="33" spans="1:21" ht="15.6" x14ac:dyDescent="0.3">
      <c r="A33" s="493" t="s">
        <v>125</v>
      </c>
      <c r="B33" s="494"/>
      <c r="C33" s="494"/>
      <c r="D33" s="494"/>
      <c r="E33" s="494"/>
      <c r="F33" s="494"/>
      <c r="G33" s="494"/>
      <c r="H33" s="494"/>
      <c r="I33" s="494"/>
      <c r="J33" s="495"/>
      <c r="K33" s="61" t="s">
        <v>34</v>
      </c>
      <c r="L33" s="81">
        <v>244.99999999999997</v>
      </c>
      <c r="M33" s="72">
        <v>14639.309007267999</v>
      </c>
      <c r="N33" s="81">
        <v>269.5</v>
      </c>
      <c r="O33" s="72">
        <v>14848.117798981815</v>
      </c>
      <c r="P33" s="81">
        <v>293.99999999999989</v>
      </c>
      <c r="Q33" s="72">
        <v>15056.926590695633</v>
      </c>
      <c r="R33" s="81">
        <v>220.50000000000011</v>
      </c>
      <c r="S33" s="72">
        <v>14430.500215554186</v>
      </c>
      <c r="T33" s="81">
        <v>196</v>
      </c>
      <c r="U33" s="72">
        <v>14221.691423840375</v>
      </c>
    </row>
    <row r="34" spans="1:21" x14ac:dyDescent="0.25">
      <c r="A34" s="60" t="s">
        <v>67</v>
      </c>
      <c r="B34" s="472" t="s">
        <v>115</v>
      </c>
      <c r="C34" s="473"/>
      <c r="D34" s="474"/>
      <c r="E34" s="60" t="s">
        <v>116</v>
      </c>
      <c r="F34" s="472" t="s">
        <v>117</v>
      </c>
      <c r="G34" s="475"/>
      <c r="H34" s="476"/>
      <c r="I34" s="476"/>
      <c r="J34" s="477"/>
      <c r="K34" s="61" t="s">
        <v>35</v>
      </c>
      <c r="L34" s="81">
        <v>63.999999999999972</v>
      </c>
      <c r="M34" s="72">
        <v>16122.654863591863</v>
      </c>
      <c r="N34" s="81">
        <v>70.399999999999977</v>
      </c>
      <c r="O34" s="72">
        <v>16182.558677565079</v>
      </c>
      <c r="P34" s="81">
        <v>76.800000000000054</v>
      </c>
      <c r="Q34" s="72">
        <v>16242.462491538299</v>
      </c>
      <c r="R34" s="81">
        <v>57.599999999999987</v>
      </c>
      <c r="S34" s="72">
        <v>16062.751049618637</v>
      </c>
      <c r="T34" s="81">
        <v>51.200000000000031</v>
      </c>
      <c r="U34" s="72">
        <v>16002.847235645417</v>
      </c>
    </row>
    <row r="35" spans="1:21" x14ac:dyDescent="0.25">
      <c r="A35" s="108"/>
      <c r="B35" s="109"/>
      <c r="C35" s="110"/>
      <c r="D35" s="139"/>
      <c r="E35" s="99"/>
      <c r="F35" s="140"/>
      <c r="G35" s="140"/>
      <c r="H35" s="140"/>
      <c r="I35" s="140"/>
      <c r="J35" s="141"/>
      <c r="K35" s="61" t="s">
        <v>36</v>
      </c>
      <c r="L35" s="81">
        <v>3.9999999999999987</v>
      </c>
      <c r="M35" s="72">
        <v>15764.324942725018</v>
      </c>
      <c r="N35" s="81">
        <v>4.3999999999999959</v>
      </c>
      <c r="O35" s="72">
        <v>15768.102751977995</v>
      </c>
      <c r="P35" s="81">
        <v>4.8000000000000016</v>
      </c>
      <c r="Q35" s="72">
        <v>15771.880561230964</v>
      </c>
      <c r="R35" s="81">
        <v>3.6</v>
      </c>
      <c r="S35" s="72">
        <v>15760.547133472044</v>
      </c>
      <c r="T35" s="81">
        <v>3.199999999999998</v>
      </c>
      <c r="U35" s="72">
        <v>15756.769324219076</v>
      </c>
    </row>
    <row r="36" spans="1:21" x14ac:dyDescent="0.25">
      <c r="A36" s="114"/>
      <c r="B36" s="115"/>
      <c r="C36" s="116"/>
      <c r="D36" s="142"/>
      <c r="E36" s="72"/>
      <c r="F36" s="112"/>
      <c r="G36" s="112"/>
      <c r="H36" s="112"/>
      <c r="I36" s="112"/>
      <c r="J36" s="113"/>
      <c r="K36" s="61" t="s">
        <v>37</v>
      </c>
      <c r="L36" s="81">
        <v>0</v>
      </c>
      <c r="M36" s="72">
        <v>16057.924699109626</v>
      </c>
      <c r="N36" s="81">
        <v>0</v>
      </c>
      <c r="O36" s="72">
        <v>16057.931022059151</v>
      </c>
      <c r="P36" s="81">
        <v>0</v>
      </c>
      <c r="Q36" s="72">
        <v>16057.937345008675</v>
      </c>
      <c r="R36" s="81">
        <v>0</v>
      </c>
      <c r="S36" s="72">
        <v>16057.9183761601</v>
      </c>
      <c r="T36" s="81">
        <v>0</v>
      </c>
      <c r="U36" s="72">
        <v>16057.912053210575</v>
      </c>
    </row>
    <row r="37" spans="1:21" x14ac:dyDescent="0.25">
      <c r="A37" s="114"/>
      <c r="B37" s="115"/>
      <c r="C37" s="116"/>
      <c r="D37" s="142"/>
      <c r="E37" s="72"/>
      <c r="F37" s="112"/>
      <c r="G37" s="112"/>
      <c r="H37" s="112"/>
      <c r="I37" s="112"/>
      <c r="J37" s="113"/>
      <c r="K37" s="61" t="s">
        <v>38</v>
      </c>
      <c r="L37" s="81">
        <v>0.99999999999999922</v>
      </c>
      <c r="M37" s="72">
        <v>14889.143116694868</v>
      </c>
      <c r="N37" s="81">
        <v>1.1000000000000001</v>
      </c>
      <c r="O37" s="72">
        <v>14890.07488844573</v>
      </c>
      <c r="P37" s="81">
        <v>1.1999999999999988</v>
      </c>
      <c r="Q37" s="72">
        <v>14891.006660196601</v>
      </c>
      <c r="R37" s="81">
        <v>0.8999999999999998</v>
      </c>
      <c r="S37" s="72">
        <v>14888.211344944</v>
      </c>
      <c r="T37" s="81">
        <v>0.79999999999999949</v>
      </c>
      <c r="U37" s="72">
        <v>14887.27957319314</v>
      </c>
    </row>
    <row r="38" spans="1:21" x14ac:dyDescent="0.25">
      <c r="A38" s="114"/>
      <c r="B38" s="115"/>
      <c r="C38" s="116"/>
      <c r="D38" s="142"/>
      <c r="E38" s="72"/>
      <c r="F38" s="112"/>
      <c r="G38" s="112"/>
      <c r="H38" s="112"/>
      <c r="I38" s="112"/>
      <c r="J38" s="113"/>
      <c r="K38" s="61" t="s">
        <v>39</v>
      </c>
      <c r="L38" s="81">
        <v>38</v>
      </c>
      <c r="M38" s="72">
        <v>16318.416295236157</v>
      </c>
      <c r="N38" s="81">
        <v>41.79999999999999</v>
      </c>
      <c r="O38" s="72">
        <v>16353.742480738443</v>
      </c>
      <c r="P38" s="81">
        <v>45.6</v>
      </c>
      <c r="Q38" s="72">
        <v>16389.068666240732</v>
      </c>
      <c r="R38" s="81">
        <v>34.200000000000003</v>
      </c>
      <c r="S38" s="72">
        <v>16283.090109733859</v>
      </c>
      <c r="T38" s="81">
        <v>30.399999999999991</v>
      </c>
      <c r="U38" s="72">
        <v>16247.763924231569</v>
      </c>
    </row>
    <row r="39" spans="1:21" x14ac:dyDescent="0.25">
      <c r="A39" s="114"/>
      <c r="B39" s="115"/>
      <c r="C39" s="116"/>
      <c r="D39" s="142"/>
      <c r="E39" s="72"/>
      <c r="F39" s="112"/>
      <c r="G39" s="112"/>
      <c r="H39" s="112"/>
      <c r="I39" s="112"/>
      <c r="J39" s="113"/>
      <c r="K39" s="61" t="s">
        <v>40</v>
      </c>
      <c r="L39" s="81">
        <v>228</v>
      </c>
      <c r="M39" s="72">
        <v>10881.222367403378</v>
      </c>
      <c r="N39" s="81">
        <v>250.80000000000004</v>
      </c>
      <c r="O39" s="72">
        <v>11093.677842221256</v>
      </c>
      <c r="P39" s="81">
        <v>273.60000000000002</v>
      </c>
      <c r="Q39" s="72">
        <v>11306.133317039135</v>
      </c>
      <c r="R39" s="81">
        <v>205.2</v>
      </c>
      <c r="S39" s="72">
        <v>10668.766892585501</v>
      </c>
      <c r="T39" s="81">
        <v>182.40000000000003</v>
      </c>
      <c r="U39" s="72">
        <v>10456.31141776762</v>
      </c>
    </row>
    <row r="40" spans="1:21" x14ac:dyDescent="0.25">
      <c r="A40" s="114"/>
      <c r="B40" s="115"/>
      <c r="C40" s="116"/>
      <c r="D40" s="142"/>
      <c r="E40" s="72"/>
      <c r="F40" s="112"/>
      <c r="G40" s="112"/>
      <c r="H40" s="112"/>
      <c r="I40" s="112"/>
      <c r="J40" s="113"/>
      <c r="K40" s="61" t="s">
        <v>65</v>
      </c>
      <c r="L40" s="81">
        <v>510</v>
      </c>
      <c r="M40" s="72">
        <v>12404.009744663023</v>
      </c>
      <c r="N40" s="81">
        <v>560.99999999999989</v>
      </c>
      <c r="O40" s="72">
        <v>12725.965435248698</v>
      </c>
      <c r="P40" s="81">
        <v>612</v>
      </c>
      <c r="Q40" s="72">
        <v>13047.921125834382</v>
      </c>
      <c r="R40" s="81">
        <v>459</v>
      </c>
      <c r="S40" s="72">
        <v>12082.05405407734</v>
      </c>
      <c r="T40" s="81">
        <v>408</v>
      </c>
      <c r="U40" s="72">
        <v>11760.098363491661</v>
      </c>
    </row>
    <row r="41" spans="1:21" x14ac:dyDescent="0.25">
      <c r="A41" s="114"/>
      <c r="B41" s="115"/>
      <c r="C41" s="116"/>
      <c r="D41" s="142"/>
      <c r="E41" s="72"/>
      <c r="F41" s="112"/>
      <c r="G41" s="112"/>
      <c r="H41" s="112"/>
      <c r="I41" s="112"/>
      <c r="J41" s="113"/>
      <c r="K41" s="61" t="s">
        <v>66</v>
      </c>
      <c r="L41" s="81">
        <v>854</v>
      </c>
      <c r="M41" s="72">
        <v>17828.368851758492</v>
      </c>
      <c r="N41" s="81">
        <v>939.39999999999986</v>
      </c>
      <c r="O41" s="72">
        <v>18325.892187653208</v>
      </c>
      <c r="P41" s="81">
        <v>1024.7999999999997</v>
      </c>
      <c r="Q41" s="72">
        <v>18823.415523547916</v>
      </c>
      <c r="R41" s="81">
        <v>768.60000000000014</v>
      </c>
      <c r="S41" s="72">
        <v>17330.845515863781</v>
      </c>
      <c r="T41" s="81">
        <v>683.19999999999993</v>
      </c>
      <c r="U41" s="72">
        <v>16833.322179969076</v>
      </c>
    </row>
    <row r="42" spans="1:21" x14ac:dyDescent="0.25">
      <c r="A42" s="114"/>
      <c r="B42" s="115"/>
      <c r="C42" s="116"/>
      <c r="D42" s="142"/>
      <c r="E42" s="72"/>
      <c r="F42" s="112"/>
      <c r="G42" s="112"/>
      <c r="H42" s="112"/>
      <c r="I42" s="112"/>
      <c r="J42" s="113"/>
      <c r="K42" s="118" t="s">
        <v>126</v>
      </c>
      <c r="L42" s="119">
        <v>4132</v>
      </c>
      <c r="M42" s="119">
        <v>187648.87474556029</v>
      </c>
      <c r="N42" s="119">
        <v>4545.2000000000016</v>
      </c>
      <c r="O42" s="119">
        <v>190203.29271650509</v>
      </c>
      <c r="P42" s="119">
        <v>4958.3999999999996</v>
      </c>
      <c r="Q42" s="119">
        <v>192757.71068744999</v>
      </c>
      <c r="R42" s="119">
        <v>3718.8</v>
      </c>
      <c r="S42" s="119">
        <v>185094.45677461539</v>
      </c>
      <c r="T42" s="119">
        <v>3305.6000000000004</v>
      </c>
      <c r="U42" s="119">
        <v>182540.03880367056</v>
      </c>
    </row>
    <row r="43" spans="1:21" x14ac:dyDescent="0.25">
      <c r="A43" s="114"/>
      <c r="B43" s="115"/>
      <c r="C43" s="116"/>
      <c r="D43" s="142"/>
      <c r="E43" s="72"/>
      <c r="F43" s="112"/>
      <c r="G43" s="112"/>
      <c r="H43" s="112"/>
      <c r="I43" s="112"/>
      <c r="J43" s="113"/>
      <c r="K43" s="118" t="s">
        <v>127</v>
      </c>
      <c r="L43" s="119">
        <v>3552</v>
      </c>
      <c r="M43" s="119">
        <v>82975.879453531379</v>
      </c>
      <c r="N43" s="119">
        <v>3907.2000000000007</v>
      </c>
      <c r="O43" s="119">
        <v>85009.087254515689</v>
      </c>
      <c r="P43" s="119">
        <v>4262.3999999999996</v>
      </c>
      <c r="Q43" s="119">
        <v>87042.29505549997</v>
      </c>
      <c r="R43" s="119">
        <v>3196.8</v>
      </c>
      <c r="S43" s="119">
        <v>80942.671652547069</v>
      </c>
      <c r="T43" s="119">
        <v>2841.6000000000004</v>
      </c>
      <c r="U43" s="119">
        <v>78909.463851562788</v>
      </c>
    </row>
    <row r="44" spans="1:21" x14ac:dyDescent="0.25">
      <c r="A44" s="114"/>
      <c r="B44" s="124"/>
      <c r="C44" s="125"/>
      <c r="D44" s="143"/>
      <c r="E44" s="127"/>
      <c r="F44" s="112"/>
      <c r="G44" s="112"/>
      <c r="H44" s="112"/>
      <c r="I44" s="112"/>
      <c r="J44" s="113"/>
      <c r="K44" s="118" t="s">
        <v>128</v>
      </c>
      <c r="L44" s="119">
        <v>4132</v>
      </c>
      <c r="M44" s="119">
        <v>3294644.4984724219</v>
      </c>
      <c r="N44" s="119">
        <v>4545.2000000000016</v>
      </c>
      <c r="O44" s="119">
        <v>3543249.6871375497</v>
      </c>
      <c r="P44" s="119">
        <v>4958.3999999999996</v>
      </c>
      <c r="Q44" s="119">
        <v>3791854.8758026771</v>
      </c>
      <c r="R44" s="119">
        <v>3718.8</v>
      </c>
      <c r="S44" s="119">
        <v>3046039.309807295</v>
      </c>
      <c r="T44" s="119">
        <v>3305.6000000000004</v>
      </c>
      <c r="U44" s="119">
        <v>2797434.1211421676</v>
      </c>
    </row>
    <row r="45" spans="1:21" x14ac:dyDescent="0.25">
      <c r="A45" s="128"/>
      <c r="B45" s="129"/>
      <c r="C45" s="129"/>
      <c r="D45" s="129" t="s">
        <v>129</v>
      </c>
      <c r="E45" s="130">
        <v>0</v>
      </c>
      <c r="F45" s="131"/>
      <c r="G45" s="131"/>
      <c r="H45" s="131"/>
      <c r="I45" s="131"/>
      <c r="J45" s="132"/>
      <c r="K45" s="118" t="s">
        <v>130</v>
      </c>
      <c r="L45" s="119">
        <v>3552</v>
      </c>
      <c r="M45" s="119">
        <v>2524866.0692203115</v>
      </c>
      <c r="N45" s="119">
        <v>3907.2000000000007</v>
      </c>
      <c r="O45" s="119">
        <v>2735390.8464821931</v>
      </c>
      <c r="P45" s="119">
        <v>4262.3999999999996</v>
      </c>
      <c r="Q45" s="119">
        <v>2945915.6237440729</v>
      </c>
      <c r="R45" s="119">
        <v>3196.8</v>
      </c>
      <c r="S45" s="119">
        <v>2314341.2919584299</v>
      </c>
      <c r="T45" s="119">
        <v>2841.6000000000004</v>
      </c>
      <c r="U45" s="119">
        <v>2103816.5146965487</v>
      </c>
    </row>
    <row r="47" spans="1:21" x14ac:dyDescent="0.25">
      <c r="K47" s="61" t="s">
        <v>62</v>
      </c>
      <c r="M47" s="177">
        <f>+M12+M30</f>
        <v>682747.66750706802</v>
      </c>
    </row>
    <row r="48" spans="1:21" x14ac:dyDescent="0.25">
      <c r="K48" s="61" t="s">
        <v>63</v>
      </c>
      <c r="M48" s="177">
        <f t="shared" ref="M48:M49" si="0">+M13+M31</f>
        <v>542062.59041955415</v>
      </c>
    </row>
    <row r="49" spans="1:13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61" t="s">
        <v>64</v>
      </c>
      <c r="M49" s="177">
        <f t="shared" si="0"/>
        <v>385399.29507739906</v>
      </c>
    </row>
    <row r="50" spans="1:13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61" t="s">
        <v>34</v>
      </c>
    </row>
    <row r="51" spans="1:13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61" t="s">
        <v>35</v>
      </c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61" t="s">
        <v>36</v>
      </c>
    </row>
    <row r="53" spans="1:13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61" t="s">
        <v>37</v>
      </c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61" t="s">
        <v>38</v>
      </c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61" t="s">
        <v>39</v>
      </c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61" t="s">
        <v>40</v>
      </c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61" t="s">
        <v>65</v>
      </c>
      <c r="M57" s="177">
        <f t="shared" ref="M57:M58" si="1">+M22+M40</f>
        <v>326791.10605761636</v>
      </c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61" t="s">
        <v>66</v>
      </c>
      <c r="M58" s="177">
        <f t="shared" si="1"/>
        <v>587865.41015867377</v>
      </c>
    </row>
    <row r="59" spans="1:13" ht="14.4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M59" s="178">
        <f>SUM(M47:M58)</f>
        <v>2524866.0692203115</v>
      </c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31" priority="4" stopIfTrue="1" operator="greaterThanOrEqual">
      <formula>$E$11</formula>
    </cfRule>
  </conditionalFormatting>
  <conditionalFormatting sqref="J10">
    <cfRule type="cellIs" dxfId="30" priority="3" stopIfTrue="1" operator="greaterThanOrEqual">
      <formula>$E$11</formula>
    </cfRule>
  </conditionalFormatting>
  <conditionalFormatting sqref="H9">
    <cfRule type="cellIs" dxfId="29" priority="2" stopIfTrue="1" operator="greaterThanOrEqual">
      <formula>$H$6</formula>
    </cfRule>
  </conditionalFormatting>
  <conditionalFormatting sqref="F4:J4">
    <cfRule type="containsText" dxfId="28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I52" sqref="I52"/>
    </sheetView>
  </sheetViews>
  <sheetFormatPr defaultRowHeight="13.8" x14ac:dyDescent="0.25"/>
  <cols>
    <col min="1" max="1" width="26.6640625" style="144" customWidth="1"/>
    <col min="2" max="3" width="18.6640625" style="144" customWidth="1"/>
    <col min="4" max="4" width="27.6640625" style="144" customWidth="1"/>
    <col min="5" max="5" width="15.6640625" style="144" customWidth="1"/>
    <col min="6" max="7" width="12.6640625" style="144" customWidth="1"/>
    <col min="8" max="8" width="17.6640625" style="144" customWidth="1"/>
    <col min="9" max="10" width="15.6640625" style="144" customWidth="1"/>
    <col min="11" max="11" width="21.109375" style="47" customWidth="1"/>
    <col min="12" max="13" width="18.6640625" style="47" customWidth="1"/>
    <col min="14" max="21" width="15.88671875" style="47" customWidth="1"/>
    <col min="22" max="256" width="9.109375" style="47"/>
    <col min="257" max="257" width="26.6640625" style="47" customWidth="1"/>
    <col min="258" max="259" width="18.6640625" style="47" customWidth="1"/>
    <col min="260" max="260" width="27.6640625" style="47" customWidth="1"/>
    <col min="261" max="261" width="15.6640625" style="47" customWidth="1"/>
    <col min="262" max="263" width="12.6640625" style="47" customWidth="1"/>
    <col min="264" max="264" width="17.6640625" style="47" customWidth="1"/>
    <col min="265" max="266" width="15.6640625" style="47" customWidth="1"/>
    <col min="267" max="269" width="18.6640625" style="47" customWidth="1"/>
    <col min="270" max="277" width="15.88671875" style="47" customWidth="1"/>
    <col min="278" max="512" width="9.109375" style="47"/>
    <col min="513" max="513" width="26.6640625" style="47" customWidth="1"/>
    <col min="514" max="515" width="18.6640625" style="47" customWidth="1"/>
    <col min="516" max="516" width="27.6640625" style="47" customWidth="1"/>
    <col min="517" max="517" width="15.6640625" style="47" customWidth="1"/>
    <col min="518" max="519" width="12.6640625" style="47" customWidth="1"/>
    <col min="520" max="520" width="17.6640625" style="47" customWidth="1"/>
    <col min="521" max="522" width="15.6640625" style="47" customWidth="1"/>
    <col min="523" max="525" width="18.6640625" style="47" customWidth="1"/>
    <col min="526" max="533" width="15.88671875" style="47" customWidth="1"/>
    <col min="534" max="768" width="9.109375" style="47"/>
    <col min="769" max="769" width="26.6640625" style="47" customWidth="1"/>
    <col min="770" max="771" width="18.6640625" style="47" customWidth="1"/>
    <col min="772" max="772" width="27.6640625" style="47" customWidth="1"/>
    <col min="773" max="773" width="15.6640625" style="47" customWidth="1"/>
    <col min="774" max="775" width="12.6640625" style="47" customWidth="1"/>
    <col min="776" max="776" width="17.6640625" style="47" customWidth="1"/>
    <col min="777" max="778" width="15.6640625" style="47" customWidth="1"/>
    <col min="779" max="781" width="18.6640625" style="47" customWidth="1"/>
    <col min="782" max="789" width="15.88671875" style="47" customWidth="1"/>
    <col min="790" max="1024" width="9.109375" style="47"/>
    <col min="1025" max="1025" width="26.6640625" style="47" customWidth="1"/>
    <col min="1026" max="1027" width="18.6640625" style="47" customWidth="1"/>
    <col min="1028" max="1028" width="27.6640625" style="47" customWidth="1"/>
    <col min="1029" max="1029" width="15.6640625" style="47" customWidth="1"/>
    <col min="1030" max="1031" width="12.6640625" style="47" customWidth="1"/>
    <col min="1032" max="1032" width="17.6640625" style="47" customWidth="1"/>
    <col min="1033" max="1034" width="15.6640625" style="47" customWidth="1"/>
    <col min="1035" max="1037" width="18.6640625" style="47" customWidth="1"/>
    <col min="1038" max="1045" width="15.88671875" style="47" customWidth="1"/>
    <col min="1046" max="1280" width="9.109375" style="47"/>
    <col min="1281" max="1281" width="26.6640625" style="47" customWidth="1"/>
    <col min="1282" max="1283" width="18.6640625" style="47" customWidth="1"/>
    <col min="1284" max="1284" width="27.6640625" style="47" customWidth="1"/>
    <col min="1285" max="1285" width="15.6640625" style="47" customWidth="1"/>
    <col min="1286" max="1287" width="12.6640625" style="47" customWidth="1"/>
    <col min="1288" max="1288" width="17.6640625" style="47" customWidth="1"/>
    <col min="1289" max="1290" width="15.6640625" style="47" customWidth="1"/>
    <col min="1291" max="1293" width="18.6640625" style="47" customWidth="1"/>
    <col min="1294" max="1301" width="15.88671875" style="47" customWidth="1"/>
    <col min="1302" max="1536" width="9.109375" style="47"/>
    <col min="1537" max="1537" width="26.6640625" style="47" customWidth="1"/>
    <col min="1538" max="1539" width="18.6640625" style="47" customWidth="1"/>
    <col min="1540" max="1540" width="27.6640625" style="47" customWidth="1"/>
    <col min="1541" max="1541" width="15.6640625" style="47" customWidth="1"/>
    <col min="1542" max="1543" width="12.6640625" style="47" customWidth="1"/>
    <col min="1544" max="1544" width="17.6640625" style="47" customWidth="1"/>
    <col min="1545" max="1546" width="15.6640625" style="47" customWidth="1"/>
    <col min="1547" max="1549" width="18.6640625" style="47" customWidth="1"/>
    <col min="1550" max="1557" width="15.88671875" style="47" customWidth="1"/>
    <col min="1558" max="1792" width="9.109375" style="47"/>
    <col min="1793" max="1793" width="26.6640625" style="47" customWidth="1"/>
    <col min="1794" max="1795" width="18.6640625" style="47" customWidth="1"/>
    <col min="1796" max="1796" width="27.6640625" style="47" customWidth="1"/>
    <col min="1797" max="1797" width="15.6640625" style="47" customWidth="1"/>
    <col min="1798" max="1799" width="12.6640625" style="47" customWidth="1"/>
    <col min="1800" max="1800" width="17.6640625" style="47" customWidth="1"/>
    <col min="1801" max="1802" width="15.6640625" style="47" customWidth="1"/>
    <col min="1803" max="1805" width="18.6640625" style="47" customWidth="1"/>
    <col min="1806" max="1813" width="15.88671875" style="47" customWidth="1"/>
    <col min="1814" max="2048" width="9.109375" style="47"/>
    <col min="2049" max="2049" width="26.6640625" style="47" customWidth="1"/>
    <col min="2050" max="2051" width="18.6640625" style="47" customWidth="1"/>
    <col min="2052" max="2052" width="27.6640625" style="47" customWidth="1"/>
    <col min="2053" max="2053" width="15.6640625" style="47" customWidth="1"/>
    <col min="2054" max="2055" width="12.6640625" style="47" customWidth="1"/>
    <col min="2056" max="2056" width="17.6640625" style="47" customWidth="1"/>
    <col min="2057" max="2058" width="15.6640625" style="47" customWidth="1"/>
    <col min="2059" max="2061" width="18.6640625" style="47" customWidth="1"/>
    <col min="2062" max="2069" width="15.88671875" style="47" customWidth="1"/>
    <col min="2070" max="2304" width="9.109375" style="47"/>
    <col min="2305" max="2305" width="26.6640625" style="47" customWidth="1"/>
    <col min="2306" max="2307" width="18.6640625" style="47" customWidth="1"/>
    <col min="2308" max="2308" width="27.6640625" style="47" customWidth="1"/>
    <col min="2309" max="2309" width="15.6640625" style="47" customWidth="1"/>
    <col min="2310" max="2311" width="12.6640625" style="47" customWidth="1"/>
    <col min="2312" max="2312" width="17.6640625" style="47" customWidth="1"/>
    <col min="2313" max="2314" width="15.6640625" style="47" customWidth="1"/>
    <col min="2315" max="2317" width="18.6640625" style="47" customWidth="1"/>
    <col min="2318" max="2325" width="15.88671875" style="47" customWidth="1"/>
    <col min="2326" max="2560" width="9.109375" style="47"/>
    <col min="2561" max="2561" width="26.6640625" style="47" customWidth="1"/>
    <col min="2562" max="2563" width="18.6640625" style="47" customWidth="1"/>
    <col min="2564" max="2564" width="27.6640625" style="47" customWidth="1"/>
    <col min="2565" max="2565" width="15.6640625" style="47" customWidth="1"/>
    <col min="2566" max="2567" width="12.6640625" style="47" customWidth="1"/>
    <col min="2568" max="2568" width="17.6640625" style="47" customWidth="1"/>
    <col min="2569" max="2570" width="15.6640625" style="47" customWidth="1"/>
    <col min="2571" max="2573" width="18.6640625" style="47" customWidth="1"/>
    <col min="2574" max="2581" width="15.88671875" style="47" customWidth="1"/>
    <col min="2582" max="2816" width="9.109375" style="47"/>
    <col min="2817" max="2817" width="26.6640625" style="47" customWidth="1"/>
    <col min="2818" max="2819" width="18.6640625" style="47" customWidth="1"/>
    <col min="2820" max="2820" width="27.6640625" style="47" customWidth="1"/>
    <col min="2821" max="2821" width="15.6640625" style="47" customWidth="1"/>
    <col min="2822" max="2823" width="12.6640625" style="47" customWidth="1"/>
    <col min="2824" max="2824" width="17.6640625" style="47" customWidth="1"/>
    <col min="2825" max="2826" width="15.6640625" style="47" customWidth="1"/>
    <col min="2827" max="2829" width="18.6640625" style="47" customWidth="1"/>
    <col min="2830" max="2837" width="15.88671875" style="47" customWidth="1"/>
    <col min="2838" max="3072" width="9.109375" style="47"/>
    <col min="3073" max="3073" width="26.6640625" style="47" customWidth="1"/>
    <col min="3074" max="3075" width="18.6640625" style="47" customWidth="1"/>
    <col min="3076" max="3076" width="27.6640625" style="47" customWidth="1"/>
    <col min="3077" max="3077" width="15.6640625" style="47" customWidth="1"/>
    <col min="3078" max="3079" width="12.6640625" style="47" customWidth="1"/>
    <col min="3080" max="3080" width="17.6640625" style="47" customWidth="1"/>
    <col min="3081" max="3082" width="15.6640625" style="47" customWidth="1"/>
    <col min="3083" max="3085" width="18.6640625" style="47" customWidth="1"/>
    <col min="3086" max="3093" width="15.88671875" style="47" customWidth="1"/>
    <col min="3094" max="3328" width="9.109375" style="47"/>
    <col min="3329" max="3329" width="26.6640625" style="47" customWidth="1"/>
    <col min="3330" max="3331" width="18.6640625" style="47" customWidth="1"/>
    <col min="3332" max="3332" width="27.6640625" style="47" customWidth="1"/>
    <col min="3333" max="3333" width="15.6640625" style="47" customWidth="1"/>
    <col min="3334" max="3335" width="12.6640625" style="47" customWidth="1"/>
    <col min="3336" max="3336" width="17.6640625" style="47" customWidth="1"/>
    <col min="3337" max="3338" width="15.6640625" style="47" customWidth="1"/>
    <col min="3339" max="3341" width="18.6640625" style="47" customWidth="1"/>
    <col min="3342" max="3349" width="15.88671875" style="47" customWidth="1"/>
    <col min="3350" max="3584" width="9.109375" style="47"/>
    <col min="3585" max="3585" width="26.6640625" style="47" customWidth="1"/>
    <col min="3586" max="3587" width="18.6640625" style="47" customWidth="1"/>
    <col min="3588" max="3588" width="27.6640625" style="47" customWidth="1"/>
    <col min="3589" max="3589" width="15.6640625" style="47" customWidth="1"/>
    <col min="3590" max="3591" width="12.6640625" style="47" customWidth="1"/>
    <col min="3592" max="3592" width="17.6640625" style="47" customWidth="1"/>
    <col min="3593" max="3594" width="15.6640625" style="47" customWidth="1"/>
    <col min="3595" max="3597" width="18.6640625" style="47" customWidth="1"/>
    <col min="3598" max="3605" width="15.88671875" style="47" customWidth="1"/>
    <col min="3606" max="3840" width="9.109375" style="47"/>
    <col min="3841" max="3841" width="26.6640625" style="47" customWidth="1"/>
    <col min="3842" max="3843" width="18.6640625" style="47" customWidth="1"/>
    <col min="3844" max="3844" width="27.6640625" style="47" customWidth="1"/>
    <col min="3845" max="3845" width="15.6640625" style="47" customWidth="1"/>
    <col min="3846" max="3847" width="12.6640625" style="47" customWidth="1"/>
    <col min="3848" max="3848" width="17.6640625" style="47" customWidth="1"/>
    <col min="3849" max="3850" width="15.6640625" style="47" customWidth="1"/>
    <col min="3851" max="3853" width="18.6640625" style="47" customWidth="1"/>
    <col min="3854" max="3861" width="15.88671875" style="47" customWidth="1"/>
    <col min="3862" max="4096" width="9.109375" style="47"/>
    <col min="4097" max="4097" width="26.6640625" style="47" customWidth="1"/>
    <col min="4098" max="4099" width="18.6640625" style="47" customWidth="1"/>
    <col min="4100" max="4100" width="27.6640625" style="47" customWidth="1"/>
    <col min="4101" max="4101" width="15.6640625" style="47" customWidth="1"/>
    <col min="4102" max="4103" width="12.6640625" style="47" customWidth="1"/>
    <col min="4104" max="4104" width="17.6640625" style="47" customWidth="1"/>
    <col min="4105" max="4106" width="15.6640625" style="47" customWidth="1"/>
    <col min="4107" max="4109" width="18.6640625" style="47" customWidth="1"/>
    <col min="4110" max="4117" width="15.88671875" style="47" customWidth="1"/>
    <col min="4118" max="4352" width="9.109375" style="47"/>
    <col min="4353" max="4353" width="26.6640625" style="47" customWidth="1"/>
    <col min="4354" max="4355" width="18.6640625" style="47" customWidth="1"/>
    <col min="4356" max="4356" width="27.6640625" style="47" customWidth="1"/>
    <col min="4357" max="4357" width="15.6640625" style="47" customWidth="1"/>
    <col min="4358" max="4359" width="12.6640625" style="47" customWidth="1"/>
    <col min="4360" max="4360" width="17.6640625" style="47" customWidth="1"/>
    <col min="4361" max="4362" width="15.6640625" style="47" customWidth="1"/>
    <col min="4363" max="4365" width="18.6640625" style="47" customWidth="1"/>
    <col min="4366" max="4373" width="15.88671875" style="47" customWidth="1"/>
    <col min="4374" max="4608" width="9.109375" style="47"/>
    <col min="4609" max="4609" width="26.6640625" style="47" customWidth="1"/>
    <col min="4610" max="4611" width="18.6640625" style="47" customWidth="1"/>
    <col min="4612" max="4612" width="27.6640625" style="47" customWidth="1"/>
    <col min="4613" max="4613" width="15.6640625" style="47" customWidth="1"/>
    <col min="4614" max="4615" width="12.6640625" style="47" customWidth="1"/>
    <col min="4616" max="4616" width="17.6640625" style="47" customWidth="1"/>
    <col min="4617" max="4618" width="15.6640625" style="47" customWidth="1"/>
    <col min="4619" max="4621" width="18.6640625" style="47" customWidth="1"/>
    <col min="4622" max="4629" width="15.88671875" style="47" customWidth="1"/>
    <col min="4630" max="4864" width="9.109375" style="47"/>
    <col min="4865" max="4865" width="26.6640625" style="47" customWidth="1"/>
    <col min="4866" max="4867" width="18.6640625" style="47" customWidth="1"/>
    <col min="4868" max="4868" width="27.6640625" style="47" customWidth="1"/>
    <col min="4869" max="4869" width="15.6640625" style="47" customWidth="1"/>
    <col min="4870" max="4871" width="12.6640625" style="47" customWidth="1"/>
    <col min="4872" max="4872" width="17.6640625" style="47" customWidth="1"/>
    <col min="4873" max="4874" width="15.6640625" style="47" customWidth="1"/>
    <col min="4875" max="4877" width="18.6640625" style="47" customWidth="1"/>
    <col min="4878" max="4885" width="15.88671875" style="47" customWidth="1"/>
    <col min="4886" max="5120" width="9.109375" style="47"/>
    <col min="5121" max="5121" width="26.6640625" style="47" customWidth="1"/>
    <col min="5122" max="5123" width="18.6640625" style="47" customWidth="1"/>
    <col min="5124" max="5124" width="27.6640625" style="47" customWidth="1"/>
    <col min="5125" max="5125" width="15.6640625" style="47" customWidth="1"/>
    <col min="5126" max="5127" width="12.6640625" style="47" customWidth="1"/>
    <col min="5128" max="5128" width="17.6640625" style="47" customWidth="1"/>
    <col min="5129" max="5130" width="15.6640625" style="47" customWidth="1"/>
    <col min="5131" max="5133" width="18.6640625" style="47" customWidth="1"/>
    <col min="5134" max="5141" width="15.88671875" style="47" customWidth="1"/>
    <col min="5142" max="5376" width="9.109375" style="47"/>
    <col min="5377" max="5377" width="26.6640625" style="47" customWidth="1"/>
    <col min="5378" max="5379" width="18.6640625" style="47" customWidth="1"/>
    <col min="5380" max="5380" width="27.6640625" style="47" customWidth="1"/>
    <col min="5381" max="5381" width="15.6640625" style="47" customWidth="1"/>
    <col min="5382" max="5383" width="12.6640625" style="47" customWidth="1"/>
    <col min="5384" max="5384" width="17.6640625" style="47" customWidth="1"/>
    <col min="5385" max="5386" width="15.6640625" style="47" customWidth="1"/>
    <col min="5387" max="5389" width="18.6640625" style="47" customWidth="1"/>
    <col min="5390" max="5397" width="15.88671875" style="47" customWidth="1"/>
    <col min="5398" max="5632" width="9.109375" style="47"/>
    <col min="5633" max="5633" width="26.6640625" style="47" customWidth="1"/>
    <col min="5634" max="5635" width="18.6640625" style="47" customWidth="1"/>
    <col min="5636" max="5636" width="27.6640625" style="47" customWidth="1"/>
    <col min="5637" max="5637" width="15.6640625" style="47" customWidth="1"/>
    <col min="5638" max="5639" width="12.6640625" style="47" customWidth="1"/>
    <col min="5640" max="5640" width="17.6640625" style="47" customWidth="1"/>
    <col min="5641" max="5642" width="15.6640625" style="47" customWidth="1"/>
    <col min="5643" max="5645" width="18.6640625" style="47" customWidth="1"/>
    <col min="5646" max="5653" width="15.88671875" style="47" customWidth="1"/>
    <col min="5654" max="5888" width="9.109375" style="47"/>
    <col min="5889" max="5889" width="26.6640625" style="47" customWidth="1"/>
    <col min="5890" max="5891" width="18.6640625" style="47" customWidth="1"/>
    <col min="5892" max="5892" width="27.6640625" style="47" customWidth="1"/>
    <col min="5893" max="5893" width="15.6640625" style="47" customWidth="1"/>
    <col min="5894" max="5895" width="12.6640625" style="47" customWidth="1"/>
    <col min="5896" max="5896" width="17.6640625" style="47" customWidth="1"/>
    <col min="5897" max="5898" width="15.6640625" style="47" customWidth="1"/>
    <col min="5899" max="5901" width="18.6640625" style="47" customWidth="1"/>
    <col min="5902" max="5909" width="15.88671875" style="47" customWidth="1"/>
    <col min="5910" max="6144" width="9.109375" style="47"/>
    <col min="6145" max="6145" width="26.6640625" style="47" customWidth="1"/>
    <col min="6146" max="6147" width="18.6640625" style="47" customWidth="1"/>
    <col min="6148" max="6148" width="27.6640625" style="47" customWidth="1"/>
    <col min="6149" max="6149" width="15.6640625" style="47" customWidth="1"/>
    <col min="6150" max="6151" width="12.6640625" style="47" customWidth="1"/>
    <col min="6152" max="6152" width="17.6640625" style="47" customWidth="1"/>
    <col min="6153" max="6154" width="15.6640625" style="47" customWidth="1"/>
    <col min="6155" max="6157" width="18.6640625" style="47" customWidth="1"/>
    <col min="6158" max="6165" width="15.88671875" style="47" customWidth="1"/>
    <col min="6166" max="6400" width="9.109375" style="47"/>
    <col min="6401" max="6401" width="26.6640625" style="47" customWidth="1"/>
    <col min="6402" max="6403" width="18.6640625" style="47" customWidth="1"/>
    <col min="6404" max="6404" width="27.6640625" style="47" customWidth="1"/>
    <col min="6405" max="6405" width="15.6640625" style="47" customWidth="1"/>
    <col min="6406" max="6407" width="12.6640625" style="47" customWidth="1"/>
    <col min="6408" max="6408" width="17.6640625" style="47" customWidth="1"/>
    <col min="6409" max="6410" width="15.6640625" style="47" customWidth="1"/>
    <col min="6411" max="6413" width="18.6640625" style="47" customWidth="1"/>
    <col min="6414" max="6421" width="15.88671875" style="47" customWidth="1"/>
    <col min="6422" max="6656" width="9.109375" style="47"/>
    <col min="6657" max="6657" width="26.6640625" style="47" customWidth="1"/>
    <col min="6658" max="6659" width="18.6640625" style="47" customWidth="1"/>
    <col min="6660" max="6660" width="27.6640625" style="47" customWidth="1"/>
    <col min="6661" max="6661" width="15.6640625" style="47" customWidth="1"/>
    <col min="6662" max="6663" width="12.6640625" style="47" customWidth="1"/>
    <col min="6664" max="6664" width="17.6640625" style="47" customWidth="1"/>
    <col min="6665" max="6666" width="15.6640625" style="47" customWidth="1"/>
    <col min="6667" max="6669" width="18.6640625" style="47" customWidth="1"/>
    <col min="6670" max="6677" width="15.88671875" style="47" customWidth="1"/>
    <col min="6678" max="6912" width="9.109375" style="47"/>
    <col min="6913" max="6913" width="26.6640625" style="47" customWidth="1"/>
    <col min="6914" max="6915" width="18.6640625" style="47" customWidth="1"/>
    <col min="6916" max="6916" width="27.6640625" style="47" customWidth="1"/>
    <col min="6917" max="6917" width="15.6640625" style="47" customWidth="1"/>
    <col min="6918" max="6919" width="12.6640625" style="47" customWidth="1"/>
    <col min="6920" max="6920" width="17.6640625" style="47" customWidth="1"/>
    <col min="6921" max="6922" width="15.6640625" style="47" customWidth="1"/>
    <col min="6923" max="6925" width="18.6640625" style="47" customWidth="1"/>
    <col min="6926" max="6933" width="15.88671875" style="47" customWidth="1"/>
    <col min="6934" max="7168" width="9.109375" style="47"/>
    <col min="7169" max="7169" width="26.6640625" style="47" customWidth="1"/>
    <col min="7170" max="7171" width="18.6640625" style="47" customWidth="1"/>
    <col min="7172" max="7172" width="27.6640625" style="47" customWidth="1"/>
    <col min="7173" max="7173" width="15.6640625" style="47" customWidth="1"/>
    <col min="7174" max="7175" width="12.6640625" style="47" customWidth="1"/>
    <col min="7176" max="7176" width="17.6640625" style="47" customWidth="1"/>
    <col min="7177" max="7178" width="15.6640625" style="47" customWidth="1"/>
    <col min="7179" max="7181" width="18.6640625" style="47" customWidth="1"/>
    <col min="7182" max="7189" width="15.88671875" style="47" customWidth="1"/>
    <col min="7190" max="7424" width="9.109375" style="47"/>
    <col min="7425" max="7425" width="26.6640625" style="47" customWidth="1"/>
    <col min="7426" max="7427" width="18.6640625" style="47" customWidth="1"/>
    <col min="7428" max="7428" width="27.6640625" style="47" customWidth="1"/>
    <col min="7429" max="7429" width="15.6640625" style="47" customWidth="1"/>
    <col min="7430" max="7431" width="12.6640625" style="47" customWidth="1"/>
    <col min="7432" max="7432" width="17.6640625" style="47" customWidth="1"/>
    <col min="7433" max="7434" width="15.6640625" style="47" customWidth="1"/>
    <col min="7435" max="7437" width="18.6640625" style="47" customWidth="1"/>
    <col min="7438" max="7445" width="15.88671875" style="47" customWidth="1"/>
    <col min="7446" max="7680" width="9.109375" style="47"/>
    <col min="7681" max="7681" width="26.6640625" style="47" customWidth="1"/>
    <col min="7682" max="7683" width="18.6640625" style="47" customWidth="1"/>
    <col min="7684" max="7684" width="27.6640625" style="47" customWidth="1"/>
    <col min="7685" max="7685" width="15.6640625" style="47" customWidth="1"/>
    <col min="7686" max="7687" width="12.6640625" style="47" customWidth="1"/>
    <col min="7688" max="7688" width="17.6640625" style="47" customWidth="1"/>
    <col min="7689" max="7690" width="15.6640625" style="47" customWidth="1"/>
    <col min="7691" max="7693" width="18.6640625" style="47" customWidth="1"/>
    <col min="7694" max="7701" width="15.88671875" style="47" customWidth="1"/>
    <col min="7702" max="7936" width="9.109375" style="47"/>
    <col min="7937" max="7937" width="26.6640625" style="47" customWidth="1"/>
    <col min="7938" max="7939" width="18.6640625" style="47" customWidth="1"/>
    <col min="7940" max="7940" width="27.6640625" style="47" customWidth="1"/>
    <col min="7941" max="7941" width="15.6640625" style="47" customWidth="1"/>
    <col min="7942" max="7943" width="12.6640625" style="47" customWidth="1"/>
    <col min="7944" max="7944" width="17.6640625" style="47" customWidth="1"/>
    <col min="7945" max="7946" width="15.6640625" style="47" customWidth="1"/>
    <col min="7947" max="7949" width="18.6640625" style="47" customWidth="1"/>
    <col min="7950" max="7957" width="15.88671875" style="47" customWidth="1"/>
    <col min="7958" max="8192" width="9.109375" style="47"/>
    <col min="8193" max="8193" width="26.6640625" style="47" customWidth="1"/>
    <col min="8194" max="8195" width="18.6640625" style="47" customWidth="1"/>
    <col min="8196" max="8196" width="27.6640625" style="47" customWidth="1"/>
    <col min="8197" max="8197" width="15.6640625" style="47" customWidth="1"/>
    <col min="8198" max="8199" width="12.6640625" style="47" customWidth="1"/>
    <col min="8200" max="8200" width="17.6640625" style="47" customWidth="1"/>
    <col min="8201" max="8202" width="15.6640625" style="47" customWidth="1"/>
    <col min="8203" max="8205" width="18.6640625" style="47" customWidth="1"/>
    <col min="8206" max="8213" width="15.88671875" style="47" customWidth="1"/>
    <col min="8214" max="8448" width="9.109375" style="47"/>
    <col min="8449" max="8449" width="26.6640625" style="47" customWidth="1"/>
    <col min="8450" max="8451" width="18.6640625" style="47" customWidth="1"/>
    <col min="8452" max="8452" width="27.6640625" style="47" customWidth="1"/>
    <col min="8453" max="8453" width="15.6640625" style="47" customWidth="1"/>
    <col min="8454" max="8455" width="12.6640625" style="47" customWidth="1"/>
    <col min="8456" max="8456" width="17.6640625" style="47" customWidth="1"/>
    <col min="8457" max="8458" width="15.6640625" style="47" customWidth="1"/>
    <col min="8459" max="8461" width="18.6640625" style="47" customWidth="1"/>
    <col min="8462" max="8469" width="15.88671875" style="47" customWidth="1"/>
    <col min="8470" max="8704" width="9.109375" style="47"/>
    <col min="8705" max="8705" width="26.6640625" style="47" customWidth="1"/>
    <col min="8706" max="8707" width="18.6640625" style="47" customWidth="1"/>
    <col min="8708" max="8708" width="27.6640625" style="47" customWidth="1"/>
    <col min="8709" max="8709" width="15.6640625" style="47" customWidth="1"/>
    <col min="8710" max="8711" width="12.6640625" style="47" customWidth="1"/>
    <col min="8712" max="8712" width="17.6640625" style="47" customWidth="1"/>
    <col min="8713" max="8714" width="15.6640625" style="47" customWidth="1"/>
    <col min="8715" max="8717" width="18.6640625" style="47" customWidth="1"/>
    <col min="8718" max="8725" width="15.88671875" style="47" customWidth="1"/>
    <col min="8726" max="8960" width="9.109375" style="47"/>
    <col min="8961" max="8961" width="26.6640625" style="47" customWidth="1"/>
    <col min="8962" max="8963" width="18.6640625" style="47" customWidth="1"/>
    <col min="8964" max="8964" width="27.6640625" style="47" customWidth="1"/>
    <col min="8965" max="8965" width="15.6640625" style="47" customWidth="1"/>
    <col min="8966" max="8967" width="12.6640625" style="47" customWidth="1"/>
    <col min="8968" max="8968" width="17.6640625" style="47" customWidth="1"/>
    <col min="8969" max="8970" width="15.6640625" style="47" customWidth="1"/>
    <col min="8971" max="8973" width="18.6640625" style="47" customWidth="1"/>
    <col min="8974" max="8981" width="15.88671875" style="47" customWidth="1"/>
    <col min="8982" max="9216" width="9.109375" style="47"/>
    <col min="9217" max="9217" width="26.6640625" style="47" customWidth="1"/>
    <col min="9218" max="9219" width="18.6640625" style="47" customWidth="1"/>
    <col min="9220" max="9220" width="27.6640625" style="47" customWidth="1"/>
    <col min="9221" max="9221" width="15.6640625" style="47" customWidth="1"/>
    <col min="9222" max="9223" width="12.6640625" style="47" customWidth="1"/>
    <col min="9224" max="9224" width="17.6640625" style="47" customWidth="1"/>
    <col min="9225" max="9226" width="15.6640625" style="47" customWidth="1"/>
    <col min="9227" max="9229" width="18.6640625" style="47" customWidth="1"/>
    <col min="9230" max="9237" width="15.88671875" style="47" customWidth="1"/>
    <col min="9238" max="9472" width="9.109375" style="47"/>
    <col min="9473" max="9473" width="26.6640625" style="47" customWidth="1"/>
    <col min="9474" max="9475" width="18.6640625" style="47" customWidth="1"/>
    <col min="9476" max="9476" width="27.6640625" style="47" customWidth="1"/>
    <col min="9477" max="9477" width="15.6640625" style="47" customWidth="1"/>
    <col min="9478" max="9479" width="12.6640625" style="47" customWidth="1"/>
    <col min="9480" max="9480" width="17.6640625" style="47" customWidth="1"/>
    <col min="9481" max="9482" width="15.6640625" style="47" customWidth="1"/>
    <col min="9483" max="9485" width="18.6640625" style="47" customWidth="1"/>
    <col min="9486" max="9493" width="15.88671875" style="47" customWidth="1"/>
    <col min="9494" max="9728" width="9.109375" style="47"/>
    <col min="9729" max="9729" width="26.6640625" style="47" customWidth="1"/>
    <col min="9730" max="9731" width="18.6640625" style="47" customWidth="1"/>
    <col min="9732" max="9732" width="27.6640625" style="47" customWidth="1"/>
    <col min="9733" max="9733" width="15.6640625" style="47" customWidth="1"/>
    <col min="9734" max="9735" width="12.6640625" style="47" customWidth="1"/>
    <col min="9736" max="9736" width="17.6640625" style="47" customWidth="1"/>
    <col min="9737" max="9738" width="15.6640625" style="47" customWidth="1"/>
    <col min="9739" max="9741" width="18.6640625" style="47" customWidth="1"/>
    <col min="9742" max="9749" width="15.88671875" style="47" customWidth="1"/>
    <col min="9750" max="9984" width="9.109375" style="47"/>
    <col min="9985" max="9985" width="26.6640625" style="47" customWidth="1"/>
    <col min="9986" max="9987" width="18.6640625" style="47" customWidth="1"/>
    <col min="9988" max="9988" width="27.6640625" style="47" customWidth="1"/>
    <col min="9989" max="9989" width="15.6640625" style="47" customWidth="1"/>
    <col min="9990" max="9991" width="12.6640625" style="47" customWidth="1"/>
    <col min="9992" max="9992" width="17.6640625" style="47" customWidth="1"/>
    <col min="9993" max="9994" width="15.6640625" style="47" customWidth="1"/>
    <col min="9995" max="9997" width="18.6640625" style="47" customWidth="1"/>
    <col min="9998" max="10005" width="15.88671875" style="47" customWidth="1"/>
    <col min="10006" max="10240" width="9.109375" style="47"/>
    <col min="10241" max="10241" width="26.6640625" style="47" customWidth="1"/>
    <col min="10242" max="10243" width="18.6640625" style="47" customWidth="1"/>
    <col min="10244" max="10244" width="27.6640625" style="47" customWidth="1"/>
    <col min="10245" max="10245" width="15.6640625" style="47" customWidth="1"/>
    <col min="10246" max="10247" width="12.6640625" style="47" customWidth="1"/>
    <col min="10248" max="10248" width="17.6640625" style="47" customWidth="1"/>
    <col min="10249" max="10250" width="15.6640625" style="47" customWidth="1"/>
    <col min="10251" max="10253" width="18.6640625" style="47" customWidth="1"/>
    <col min="10254" max="10261" width="15.88671875" style="47" customWidth="1"/>
    <col min="10262" max="10496" width="9.109375" style="47"/>
    <col min="10497" max="10497" width="26.6640625" style="47" customWidth="1"/>
    <col min="10498" max="10499" width="18.6640625" style="47" customWidth="1"/>
    <col min="10500" max="10500" width="27.6640625" style="47" customWidth="1"/>
    <col min="10501" max="10501" width="15.6640625" style="47" customWidth="1"/>
    <col min="10502" max="10503" width="12.6640625" style="47" customWidth="1"/>
    <col min="10504" max="10504" width="17.6640625" style="47" customWidth="1"/>
    <col min="10505" max="10506" width="15.6640625" style="47" customWidth="1"/>
    <col min="10507" max="10509" width="18.6640625" style="47" customWidth="1"/>
    <col min="10510" max="10517" width="15.88671875" style="47" customWidth="1"/>
    <col min="10518" max="10752" width="9.109375" style="47"/>
    <col min="10753" max="10753" width="26.6640625" style="47" customWidth="1"/>
    <col min="10754" max="10755" width="18.6640625" style="47" customWidth="1"/>
    <col min="10756" max="10756" width="27.6640625" style="47" customWidth="1"/>
    <col min="10757" max="10757" width="15.6640625" style="47" customWidth="1"/>
    <col min="10758" max="10759" width="12.6640625" style="47" customWidth="1"/>
    <col min="10760" max="10760" width="17.6640625" style="47" customWidth="1"/>
    <col min="10761" max="10762" width="15.6640625" style="47" customWidth="1"/>
    <col min="10763" max="10765" width="18.6640625" style="47" customWidth="1"/>
    <col min="10766" max="10773" width="15.88671875" style="47" customWidth="1"/>
    <col min="10774" max="11008" width="9.109375" style="47"/>
    <col min="11009" max="11009" width="26.6640625" style="47" customWidth="1"/>
    <col min="11010" max="11011" width="18.6640625" style="47" customWidth="1"/>
    <col min="11012" max="11012" width="27.6640625" style="47" customWidth="1"/>
    <col min="11013" max="11013" width="15.6640625" style="47" customWidth="1"/>
    <col min="11014" max="11015" width="12.6640625" style="47" customWidth="1"/>
    <col min="11016" max="11016" width="17.6640625" style="47" customWidth="1"/>
    <col min="11017" max="11018" width="15.6640625" style="47" customWidth="1"/>
    <col min="11019" max="11021" width="18.6640625" style="47" customWidth="1"/>
    <col min="11022" max="11029" width="15.88671875" style="47" customWidth="1"/>
    <col min="11030" max="11264" width="9.109375" style="47"/>
    <col min="11265" max="11265" width="26.6640625" style="47" customWidth="1"/>
    <col min="11266" max="11267" width="18.6640625" style="47" customWidth="1"/>
    <col min="11268" max="11268" width="27.6640625" style="47" customWidth="1"/>
    <col min="11269" max="11269" width="15.6640625" style="47" customWidth="1"/>
    <col min="11270" max="11271" width="12.6640625" style="47" customWidth="1"/>
    <col min="11272" max="11272" width="17.6640625" style="47" customWidth="1"/>
    <col min="11273" max="11274" width="15.6640625" style="47" customWidth="1"/>
    <col min="11275" max="11277" width="18.6640625" style="47" customWidth="1"/>
    <col min="11278" max="11285" width="15.88671875" style="47" customWidth="1"/>
    <col min="11286" max="11520" width="9.109375" style="47"/>
    <col min="11521" max="11521" width="26.6640625" style="47" customWidth="1"/>
    <col min="11522" max="11523" width="18.6640625" style="47" customWidth="1"/>
    <col min="11524" max="11524" width="27.6640625" style="47" customWidth="1"/>
    <col min="11525" max="11525" width="15.6640625" style="47" customWidth="1"/>
    <col min="11526" max="11527" width="12.6640625" style="47" customWidth="1"/>
    <col min="11528" max="11528" width="17.6640625" style="47" customWidth="1"/>
    <col min="11529" max="11530" width="15.6640625" style="47" customWidth="1"/>
    <col min="11531" max="11533" width="18.6640625" style="47" customWidth="1"/>
    <col min="11534" max="11541" width="15.88671875" style="47" customWidth="1"/>
    <col min="11542" max="11776" width="9.109375" style="47"/>
    <col min="11777" max="11777" width="26.6640625" style="47" customWidth="1"/>
    <col min="11778" max="11779" width="18.6640625" style="47" customWidth="1"/>
    <col min="11780" max="11780" width="27.6640625" style="47" customWidth="1"/>
    <col min="11781" max="11781" width="15.6640625" style="47" customWidth="1"/>
    <col min="11782" max="11783" width="12.6640625" style="47" customWidth="1"/>
    <col min="11784" max="11784" width="17.6640625" style="47" customWidth="1"/>
    <col min="11785" max="11786" width="15.6640625" style="47" customWidth="1"/>
    <col min="11787" max="11789" width="18.6640625" style="47" customWidth="1"/>
    <col min="11790" max="11797" width="15.88671875" style="47" customWidth="1"/>
    <col min="11798" max="12032" width="9.109375" style="47"/>
    <col min="12033" max="12033" width="26.6640625" style="47" customWidth="1"/>
    <col min="12034" max="12035" width="18.6640625" style="47" customWidth="1"/>
    <col min="12036" max="12036" width="27.6640625" style="47" customWidth="1"/>
    <col min="12037" max="12037" width="15.6640625" style="47" customWidth="1"/>
    <col min="12038" max="12039" width="12.6640625" style="47" customWidth="1"/>
    <col min="12040" max="12040" width="17.6640625" style="47" customWidth="1"/>
    <col min="12041" max="12042" width="15.6640625" style="47" customWidth="1"/>
    <col min="12043" max="12045" width="18.6640625" style="47" customWidth="1"/>
    <col min="12046" max="12053" width="15.88671875" style="47" customWidth="1"/>
    <col min="12054" max="12288" width="9.109375" style="47"/>
    <col min="12289" max="12289" width="26.6640625" style="47" customWidth="1"/>
    <col min="12290" max="12291" width="18.6640625" style="47" customWidth="1"/>
    <col min="12292" max="12292" width="27.6640625" style="47" customWidth="1"/>
    <col min="12293" max="12293" width="15.6640625" style="47" customWidth="1"/>
    <col min="12294" max="12295" width="12.6640625" style="47" customWidth="1"/>
    <col min="12296" max="12296" width="17.6640625" style="47" customWidth="1"/>
    <col min="12297" max="12298" width="15.6640625" style="47" customWidth="1"/>
    <col min="12299" max="12301" width="18.6640625" style="47" customWidth="1"/>
    <col min="12302" max="12309" width="15.88671875" style="47" customWidth="1"/>
    <col min="12310" max="12544" width="9.109375" style="47"/>
    <col min="12545" max="12545" width="26.6640625" style="47" customWidth="1"/>
    <col min="12546" max="12547" width="18.6640625" style="47" customWidth="1"/>
    <col min="12548" max="12548" width="27.6640625" style="47" customWidth="1"/>
    <col min="12549" max="12549" width="15.6640625" style="47" customWidth="1"/>
    <col min="12550" max="12551" width="12.6640625" style="47" customWidth="1"/>
    <col min="12552" max="12552" width="17.6640625" style="47" customWidth="1"/>
    <col min="12553" max="12554" width="15.6640625" style="47" customWidth="1"/>
    <col min="12555" max="12557" width="18.6640625" style="47" customWidth="1"/>
    <col min="12558" max="12565" width="15.88671875" style="47" customWidth="1"/>
    <col min="12566" max="12800" width="9.109375" style="47"/>
    <col min="12801" max="12801" width="26.6640625" style="47" customWidth="1"/>
    <col min="12802" max="12803" width="18.6640625" style="47" customWidth="1"/>
    <col min="12804" max="12804" width="27.6640625" style="47" customWidth="1"/>
    <col min="12805" max="12805" width="15.6640625" style="47" customWidth="1"/>
    <col min="12806" max="12807" width="12.6640625" style="47" customWidth="1"/>
    <col min="12808" max="12808" width="17.6640625" style="47" customWidth="1"/>
    <col min="12809" max="12810" width="15.6640625" style="47" customWidth="1"/>
    <col min="12811" max="12813" width="18.6640625" style="47" customWidth="1"/>
    <col min="12814" max="12821" width="15.88671875" style="47" customWidth="1"/>
    <col min="12822" max="13056" width="9.109375" style="47"/>
    <col min="13057" max="13057" width="26.6640625" style="47" customWidth="1"/>
    <col min="13058" max="13059" width="18.6640625" style="47" customWidth="1"/>
    <col min="13060" max="13060" width="27.6640625" style="47" customWidth="1"/>
    <col min="13061" max="13061" width="15.6640625" style="47" customWidth="1"/>
    <col min="13062" max="13063" width="12.6640625" style="47" customWidth="1"/>
    <col min="13064" max="13064" width="17.6640625" style="47" customWidth="1"/>
    <col min="13065" max="13066" width="15.6640625" style="47" customWidth="1"/>
    <col min="13067" max="13069" width="18.6640625" style="47" customWidth="1"/>
    <col min="13070" max="13077" width="15.88671875" style="47" customWidth="1"/>
    <col min="13078" max="13312" width="9.109375" style="47"/>
    <col min="13313" max="13313" width="26.6640625" style="47" customWidth="1"/>
    <col min="13314" max="13315" width="18.6640625" style="47" customWidth="1"/>
    <col min="13316" max="13316" width="27.6640625" style="47" customWidth="1"/>
    <col min="13317" max="13317" width="15.6640625" style="47" customWidth="1"/>
    <col min="13318" max="13319" width="12.6640625" style="47" customWidth="1"/>
    <col min="13320" max="13320" width="17.6640625" style="47" customWidth="1"/>
    <col min="13321" max="13322" width="15.6640625" style="47" customWidth="1"/>
    <col min="13323" max="13325" width="18.6640625" style="47" customWidth="1"/>
    <col min="13326" max="13333" width="15.88671875" style="47" customWidth="1"/>
    <col min="13334" max="13568" width="9.109375" style="47"/>
    <col min="13569" max="13569" width="26.6640625" style="47" customWidth="1"/>
    <col min="13570" max="13571" width="18.6640625" style="47" customWidth="1"/>
    <col min="13572" max="13572" width="27.6640625" style="47" customWidth="1"/>
    <col min="13573" max="13573" width="15.6640625" style="47" customWidth="1"/>
    <col min="13574" max="13575" width="12.6640625" style="47" customWidth="1"/>
    <col min="13576" max="13576" width="17.6640625" style="47" customWidth="1"/>
    <col min="13577" max="13578" width="15.6640625" style="47" customWidth="1"/>
    <col min="13579" max="13581" width="18.6640625" style="47" customWidth="1"/>
    <col min="13582" max="13589" width="15.88671875" style="47" customWidth="1"/>
    <col min="13590" max="13824" width="9.109375" style="47"/>
    <col min="13825" max="13825" width="26.6640625" style="47" customWidth="1"/>
    <col min="13826" max="13827" width="18.6640625" style="47" customWidth="1"/>
    <col min="13828" max="13828" width="27.6640625" style="47" customWidth="1"/>
    <col min="13829" max="13829" width="15.6640625" style="47" customWidth="1"/>
    <col min="13830" max="13831" width="12.6640625" style="47" customWidth="1"/>
    <col min="13832" max="13832" width="17.6640625" style="47" customWidth="1"/>
    <col min="13833" max="13834" width="15.6640625" style="47" customWidth="1"/>
    <col min="13835" max="13837" width="18.6640625" style="47" customWidth="1"/>
    <col min="13838" max="13845" width="15.88671875" style="47" customWidth="1"/>
    <col min="13846" max="14080" width="9.109375" style="47"/>
    <col min="14081" max="14081" width="26.6640625" style="47" customWidth="1"/>
    <col min="14082" max="14083" width="18.6640625" style="47" customWidth="1"/>
    <col min="14084" max="14084" width="27.6640625" style="47" customWidth="1"/>
    <col min="14085" max="14085" width="15.6640625" style="47" customWidth="1"/>
    <col min="14086" max="14087" width="12.6640625" style="47" customWidth="1"/>
    <col min="14088" max="14088" width="17.6640625" style="47" customWidth="1"/>
    <col min="14089" max="14090" width="15.6640625" style="47" customWidth="1"/>
    <col min="14091" max="14093" width="18.6640625" style="47" customWidth="1"/>
    <col min="14094" max="14101" width="15.88671875" style="47" customWidth="1"/>
    <col min="14102" max="14336" width="9.109375" style="47"/>
    <col min="14337" max="14337" width="26.6640625" style="47" customWidth="1"/>
    <col min="14338" max="14339" width="18.6640625" style="47" customWidth="1"/>
    <col min="14340" max="14340" width="27.6640625" style="47" customWidth="1"/>
    <col min="14341" max="14341" width="15.6640625" style="47" customWidth="1"/>
    <col min="14342" max="14343" width="12.6640625" style="47" customWidth="1"/>
    <col min="14344" max="14344" width="17.6640625" style="47" customWidth="1"/>
    <col min="14345" max="14346" width="15.6640625" style="47" customWidth="1"/>
    <col min="14347" max="14349" width="18.6640625" style="47" customWidth="1"/>
    <col min="14350" max="14357" width="15.88671875" style="47" customWidth="1"/>
    <col min="14358" max="14592" width="9.109375" style="47"/>
    <col min="14593" max="14593" width="26.6640625" style="47" customWidth="1"/>
    <col min="14594" max="14595" width="18.6640625" style="47" customWidth="1"/>
    <col min="14596" max="14596" width="27.6640625" style="47" customWidth="1"/>
    <col min="14597" max="14597" width="15.6640625" style="47" customWidth="1"/>
    <col min="14598" max="14599" width="12.6640625" style="47" customWidth="1"/>
    <col min="14600" max="14600" width="17.6640625" style="47" customWidth="1"/>
    <col min="14601" max="14602" width="15.6640625" style="47" customWidth="1"/>
    <col min="14603" max="14605" width="18.6640625" style="47" customWidth="1"/>
    <col min="14606" max="14613" width="15.88671875" style="47" customWidth="1"/>
    <col min="14614" max="14848" width="9.109375" style="47"/>
    <col min="14849" max="14849" width="26.6640625" style="47" customWidth="1"/>
    <col min="14850" max="14851" width="18.6640625" style="47" customWidth="1"/>
    <col min="14852" max="14852" width="27.6640625" style="47" customWidth="1"/>
    <col min="14853" max="14853" width="15.6640625" style="47" customWidth="1"/>
    <col min="14854" max="14855" width="12.6640625" style="47" customWidth="1"/>
    <col min="14856" max="14856" width="17.6640625" style="47" customWidth="1"/>
    <col min="14857" max="14858" width="15.6640625" style="47" customWidth="1"/>
    <col min="14859" max="14861" width="18.6640625" style="47" customWidth="1"/>
    <col min="14862" max="14869" width="15.88671875" style="47" customWidth="1"/>
    <col min="14870" max="15104" width="9.109375" style="47"/>
    <col min="15105" max="15105" width="26.6640625" style="47" customWidth="1"/>
    <col min="15106" max="15107" width="18.6640625" style="47" customWidth="1"/>
    <col min="15108" max="15108" width="27.6640625" style="47" customWidth="1"/>
    <col min="15109" max="15109" width="15.6640625" style="47" customWidth="1"/>
    <col min="15110" max="15111" width="12.6640625" style="47" customWidth="1"/>
    <col min="15112" max="15112" width="17.6640625" style="47" customWidth="1"/>
    <col min="15113" max="15114" width="15.6640625" style="47" customWidth="1"/>
    <col min="15115" max="15117" width="18.6640625" style="47" customWidth="1"/>
    <col min="15118" max="15125" width="15.88671875" style="47" customWidth="1"/>
    <col min="15126" max="15360" width="9.109375" style="47"/>
    <col min="15361" max="15361" width="26.6640625" style="47" customWidth="1"/>
    <col min="15362" max="15363" width="18.6640625" style="47" customWidth="1"/>
    <col min="15364" max="15364" width="27.6640625" style="47" customWidth="1"/>
    <col min="15365" max="15365" width="15.6640625" style="47" customWidth="1"/>
    <col min="15366" max="15367" width="12.6640625" style="47" customWidth="1"/>
    <col min="15368" max="15368" width="17.6640625" style="47" customWidth="1"/>
    <col min="15369" max="15370" width="15.6640625" style="47" customWidth="1"/>
    <col min="15371" max="15373" width="18.6640625" style="47" customWidth="1"/>
    <col min="15374" max="15381" width="15.88671875" style="47" customWidth="1"/>
    <col min="15382" max="15616" width="9.109375" style="47"/>
    <col min="15617" max="15617" width="26.6640625" style="47" customWidth="1"/>
    <col min="15618" max="15619" width="18.6640625" style="47" customWidth="1"/>
    <col min="15620" max="15620" width="27.6640625" style="47" customWidth="1"/>
    <col min="15621" max="15621" width="15.6640625" style="47" customWidth="1"/>
    <col min="15622" max="15623" width="12.6640625" style="47" customWidth="1"/>
    <col min="15624" max="15624" width="17.6640625" style="47" customWidth="1"/>
    <col min="15625" max="15626" width="15.6640625" style="47" customWidth="1"/>
    <col min="15627" max="15629" width="18.6640625" style="47" customWidth="1"/>
    <col min="15630" max="15637" width="15.88671875" style="47" customWidth="1"/>
    <col min="15638" max="15872" width="9.109375" style="47"/>
    <col min="15873" max="15873" width="26.6640625" style="47" customWidth="1"/>
    <col min="15874" max="15875" width="18.6640625" style="47" customWidth="1"/>
    <col min="15876" max="15876" width="27.6640625" style="47" customWidth="1"/>
    <col min="15877" max="15877" width="15.6640625" style="47" customWidth="1"/>
    <col min="15878" max="15879" width="12.6640625" style="47" customWidth="1"/>
    <col min="15880" max="15880" width="17.6640625" style="47" customWidth="1"/>
    <col min="15881" max="15882" width="15.6640625" style="47" customWidth="1"/>
    <col min="15883" max="15885" width="18.6640625" style="47" customWidth="1"/>
    <col min="15886" max="15893" width="15.88671875" style="47" customWidth="1"/>
    <col min="15894" max="16128" width="9.109375" style="47"/>
    <col min="16129" max="16129" width="26.6640625" style="47" customWidth="1"/>
    <col min="16130" max="16131" width="18.6640625" style="47" customWidth="1"/>
    <col min="16132" max="16132" width="27.6640625" style="47" customWidth="1"/>
    <col min="16133" max="16133" width="15.6640625" style="47" customWidth="1"/>
    <col min="16134" max="16135" width="12.6640625" style="47" customWidth="1"/>
    <col min="16136" max="16136" width="17.6640625" style="47" customWidth="1"/>
    <col min="16137" max="16138" width="15.6640625" style="47" customWidth="1"/>
    <col min="16139" max="16141" width="18.6640625" style="47" customWidth="1"/>
    <col min="16142" max="16149" width="15.88671875" style="47" customWidth="1"/>
    <col min="16150" max="16384" width="9.109375" style="47"/>
  </cols>
  <sheetData>
    <row r="1" spans="1:21" ht="17.399999999999999" x14ac:dyDescent="0.25">
      <c r="A1" s="443" t="s">
        <v>60</v>
      </c>
      <c r="B1" s="444"/>
      <c r="C1" s="444"/>
      <c r="D1" s="444"/>
      <c r="E1" s="444"/>
      <c r="F1" s="444"/>
      <c r="G1" s="444"/>
      <c r="H1" s="444"/>
      <c r="I1" s="444"/>
      <c r="J1" s="445"/>
      <c r="K1" s="443" t="s">
        <v>60</v>
      </c>
      <c r="L1" s="444"/>
      <c r="M1" s="444"/>
      <c r="N1" s="444"/>
      <c r="O1" s="444"/>
      <c r="P1" s="444"/>
      <c r="Q1" s="444"/>
      <c r="R1" s="444"/>
      <c r="S1" s="444"/>
      <c r="T1" s="444"/>
      <c r="U1" s="445"/>
    </row>
    <row r="2" spans="1:21" ht="17.399999999999999" x14ac:dyDescent="0.25">
      <c r="A2" s="446" t="s">
        <v>190</v>
      </c>
      <c r="B2" s="447"/>
      <c r="C2" s="447"/>
      <c r="D2" s="447"/>
      <c r="E2" s="447"/>
      <c r="F2" s="447"/>
      <c r="G2" s="447"/>
      <c r="H2" s="447"/>
      <c r="I2" s="447"/>
      <c r="J2" s="448"/>
      <c r="K2" s="446" t="s">
        <v>191</v>
      </c>
      <c r="L2" s="447"/>
      <c r="M2" s="447"/>
      <c r="N2" s="447"/>
      <c r="O2" s="447"/>
      <c r="P2" s="447"/>
      <c r="Q2" s="447"/>
      <c r="R2" s="447"/>
      <c r="S2" s="447"/>
      <c r="T2" s="447"/>
      <c r="U2" s="448"/>
    </row>
    <row r="3" spans="1:21" x14ac:dyDescent="0.25">
      <c r="A3" s="48"/>
      <c r="B3" s="49"/>
      <c r="C3"/>
      <c r="D3" s="449" t="s">
        <v>204</v>
      </c>
      <c r="E3" s="449"/>
      <c r="F3" s="449"/>
      <c r="G3"/>
      <c r="H3" s="49"/>
      <c r="I3" s="49"/>
      <c r="J3" s="50"/>
      <c r="K3" s="48"/>
      <c r="L3" s="49"/>
      <c r="M3"/>
      <c r="N3" s="449" t="s">
        <v>204</v>
      </c>
      <c r="O3" s="449"/>
      <c r="P3" s="449"/>
      <c r="Q3" s="449"/>
      <c r="R3"/>
      <c r="S3"/>
      <c r="T3" s="49"/>
      <c r="U3" s="50"/>
    </row>
    <row r="4" spans="1:21" x14ac:dyDescent="0.25">
      <c r="A4" s="51"/>
      <c r="B4" s="52"/>
      <c r="C4" s="52"/>
      <c r="D4" s="52"/>
      <c r="E4" s="52"/>
      <c r="F4" s="450" t="s">
        <v>70</v>
      </c>
      <c r="G4" s="450"/>
      <c r="H4" s="450"/>
      <c r="I4" s="450"/>
      <c r="J4" s="451"/>
      <c r="K4" s="53"/>
      <c r="L4" s="54"/>
      <c r="M4" s="54"/>
      <c r="N4" s="54"/>
      <c r="O4" s="54"/>
      <c r="P4" s="54"/>
      <c r="Q4" s="54"/>
      <c r="R4" s="54"/>
      <c r="S4" s="54"/>
      <c r="T4" s="54"/>
      <c r="U4" s="55"/>
    </row>
    <row r="5" spans="1:21" ht="15" customHeight="1" x14ac:dyDescent="0.25">
      <c r="A5" s="56" t="s">
        <v>71</v>
      </c>
      <c r="B5" s="452" t="s">
        <v>72</v>
      </c>
      <c r="C5" s="453"/>
      <c r="D5" s="57" t="s">
        <v>73</v>
      </c>
      <c r="E5" s="58"/>
      <c r="F5" s="57" t="s">
        <v>74</v>
      </c>
      <c r="G5" s="59"/>
      <c r="H5" s="171" t="s">
        <v>75</v>
      </c>
      <c r="I5" s="60" t="s">
        <v>70</v>
      </c>
      <c r="J5" s="60"/>
      <c r="K5" s="56" t="s">
        <v>71</v>
      </c>
      <c r="L5" s="454" t="s">
        <v>72</v>
      </c>
      <c r="M5" s="455"/>
      <c r="N5" s="57" t="s">
        <v>76</v>
      </c>
      <c r="O5" s="59"/>
      <c r="P5" s="456" t="s">
        <v>205</v>
      </c>
      <c r="Q5" s="457"/>
      <c r="R5" s="457"/>
      <c r="S5" s="457"/>
      <c r="T5" s="457"/>
      <c r="U5" s="458"/>
    </row>
    <row r="6" spans="1:21" x14ac:dyDescent="0.25">
      <c r="A6" s="61" t="s">
        <v>77</v>
      </c>
      <c r="B6" s="465" t="s">
        <v>137</v>
      </c>
      <c r="C6" s="466"/>
      <c r="D6" s="62" t="s">
        <v>79</v>
      </c>
      <c r="E6" s="63">
        <v>0.98251100000000002</v>
      </c>
      <c r="F6" s="64" t="s">
        <v>194</v>
      </c>
      <c r="G6" s="65"/>
      <c r="H6" s="66">
        <v>71.955833179104417</v>
      </c>
      <c r="I6" s="67" t="s">
        <v>70</v>
      </c>
      <c r="J6" s="68"/>
      <c r="K6" s="61" t="s">
        <v>77</v>
      </c>
      <c r="L6" s="467" t="s">
        <v>137</v>
      </c>
      <c r="M6" s="468"/>
      <c r="N6" s="69">
        <v>199635</v>
      </c>
      <c r="O6" s="70"/>
      <c r="P6" s="459"/>
      <c r="Q6" s="460"/>
      <c r="R6" s="460"/>
      <c r="S6" s="460"/>
      <c r="T6" s="460"/>
      <c r="U6" s="461"/>
    </row>
    <row r="7" spans="1:21" x14ac:dyDescent="0.25">
      <c r="A7" s="61" t="s">
        <v>80</v>
      </c>
      <c r="B7" s="469" t="s">
        <v>138</v>
      </c>
      <c r="C7" s="468"/>
      <c r="D7" s="71" t="s">
        <v>82</v>
      </c>
      <c r="E7" s="72">
        <v>1362.0239999999999</v>
      </c>
      <c r="F7" s="64" t="s">
        <v>195</v>
      </c>
      <c r="G7" s="65"/>
      <c r="H7" s="73">
        <v>59.767550519084473</v>
      </c>
      <c r="I7" s="74" t="s">
        <v>70</v>
      </c>
      <c r="J7" s="75"/>
      <c r="K7" s="76" t="s">
        <v>80</v>
      </c>
      <c r="L7" s="470" t="s">
        <v>138</v>
      </c>
      <c r="M7" s="471"/>
      <c r="N7" s="57"/>
      <c r="O7" s="59"/>
      <c r="P7" s="462"/>
      <c r="Q7" s="463"/>
      <c r="R7" s="463"/>
      <c r="S7" s="463"/>
      <c r="T7" s="463"/>
      <c r="U7" s="464"/>
    </row>
    <row r="8" spans="1:21" ht="15.6" x14ac:dyDescent="0.3">
      <c r="A8" s="61" t="s">
        <v>83</v>
      </c>
      <c r="B8" s="478" t="s">
        <v>196</v>
      </c>
      <c r="C8" s="479"/>
      <c r="D8" s="71" t="s">
        <v>84</v>
      </c>
      <c r="E8" s="72">
        <v>2669.5670399999999</v>
      </c>
      <c r="F8" s="64"/>
      <c r="G8" s="65"/>
      <c r="H8" s="60" t="s">
        <v>85</v>
      </c>
      <c r="I8" s="77" t="s">
        <v>70</v>
      </c>
      <c r="J8" s="60" t="s">
        <v>86</v>
      </c>
      <c r="K8" s="78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15.6" x14ac:dyDescent="0.25">
      <c r="A9" s="61" t="s">
        <v>87</v>
      </c>
      <c r="B9" s="478" t="s">
        <v>88</v>
      </c>
      <c r="C9" s="479"/>
      <c r="D9" s="71" t="s">
        <v>89</v>
      </c>
      <c r="E9" s="81">
        <v>74487</v>
      </c>
      <c r="F9" s="64" t="s">
        <v>90</v>
      </c>
      <c r="G9" s="65"/>
      <c r="H9" s="73">
        <v>62.32</v>
      </c>
      <c r="I9" s="82">
        <v>41645</v>
      </c>
      <c r="J9" s="83">
        <v>59890</v>
      </c>
      <c r="K9" s="480" t="s">
        <v>91</v>
      </c>
      <c r="L9" s="481"/>
      <c r="M9" s="481"/>
      <c r="N9" s="481"/>
      <c r="O9" s="481"/>
      <c r="P9" s="481"/>
      <c r="Q9" s="481"/>
      <c r="R9" s="481"/>
      <c r="S9" s="481"/>
      <c r="T9" s="481"/>
      <c r="U9" s="482"/>
    </row>
    <row r="10" spans="1:21" x14ac:dyDescent="0.25">
      <c r="A10" s="61" t="s">
        <v>92</v>
      </c>
      <c r="B10" s="469" t="s">
        <v>167</v>
      </c>
      <c r="C10" s="468"/>
      <c r="D10" s="71" t="s">
        <v>94</v>
      </c>
      <c r="E10" s="72">
        <v>125148</v>
      </c>
      <c r="F10" s="84" t="s">
        <v>95</v>
      </c>
      <c r="G10" s="85"/>
      <c r="H10" s="86">
        <v>62.32</v>
      </c>
      <c r="I10" s="87">
        <v>41645</v>
      </c>
      <c r="J10" s="88">
        <v>59890</v>
      </c>
      <c r="K10" s="89"/>
      <c r="L10" s="90" t="s">
        <v>96</v>
      </c>
      <c r="M10" s="91"/>
      <c r="N10" s="90" t="s">
        <v>97</v>
      </c>
      <c r="O10" s="91"/>
      <c r="P10" s="90" t="s">
        <v>98</v>
      </c>
      <c r="Q10" s="91"/>
      <c r="R10" s="90" t="s">
        <v>99</v>
      </c>
      <c r="S10" s="91"/>
      <c r="T10" s="90" t="s">
        <v>100</v>
      </c>
      <c r="U10" s="92"/>
    </row>
    <row r="11" spans="1:21" ht="15" customHeight="1" x14ac:dyDescent="0.25">
      <c r="A11" s="483" t="s">
        <v>206</v>
      </c>
      <c r="B11" s="484"/>
      <c r="C11" s="485"/>
      <c r="D11" s="93" t="s">
        <v>101</v>
      </c>
      <c r="E11" s="94">
        <v>199635</v>
      </c>
      <c r="F11" s="57" t="s">
        <v>102</v>
      </c>
      <c r="G11" s="59"/>
      <c r="H11" s="171" t="s">
        <v>103</v>
      </c>
      <c r="I11" s="60" t="s">
        <v>104</v>
      </c>
      <c r="J11" s="60" t="s">
        <v>105</v>
      </c>
      <c r="K11" s="95" t="s">
        <v>106</v>
      </c>
      <c r="L11" s="171" t="s">
        <v>107</v>
      </c>
      <c r="M11" s="171" t="s">
        <v>48</v>
      </c>
      <c r="N11" s="171" t="s">
        <v>107</v>
      </c>
      <c r="O11" s="171" t="s">
        <v>48</v>
      </c>
      <c r="P11" s="171" t="s">
        <v>107</v>
      </c>
      <c r="Q11" s="171" t="s">
        <v>48</v>
      </c>
      <c r="R11" s="171" t="s">
        <v>107</v>
      </c>
      <c r="S11" s="171" t="s">
        <v>48</v>
      </c>
      <c r="T11" s="171" t="s">
        <v>107</v>
      </c>
      <c r="U11" s="171" t="s">
        <v>48</v>
      </c>
    </row>
    <row r="12" spans="1:21" x14ac:dyDescent="0.25">
      <c r="A12" s="486"/>
      <c r="B12" s="487"/>
      <c r="C12" s="488"/>
      <c r="D12" s="58" t="s">
        <v>108</v>
      </c>
      <c r="E12" s="96"/>
      <c r="F12" s="56" t="s">
        <v>109</v>
      </c>
      <c r="G12" s="56"/>
      <c r="H12" s="97">
        <v>4400657.8649189761</v>
      </c>
      <c r="I12" s="97">
        <v>2364.4315485130992</v>
      </c>
      <c r="J12" s="97">
        <v>4403022.2964674896</v>
      </c>
      <c r="K12" s="61" t="s">
        <v>62</v>
      </c>
      <c r="L12" s="98">
        <v>908.00000000000011</v>
      </c>
      <c r="M12" s="99">
        <v>903116.07964257908</v>
      </c>
      <c r="N12" s="98">
        <v>998.80000000000052</v>
      </c>
      <c r="O12" s="99">
        <v>973541.62648473238</v>
      </c>
      <c r="P12" s="98">
        <v>1089.6000000000004</v>
      </c>
      <c r="Q12" s="99">
        <v>1043967.1733268853</v>
      </c>
      <c r="R12" s="98">
        <v>817.20000000000016</v>
      </c>
      <c r="S12" s="99">
        <v>832690.53280042589</v>
      </c>
      <c r="T12" s="98">
        <v>726.39999999999986</v>
      </c>
      <c r="U12" s="99">
        <v>762264.98595827259</v>
      </c>
    </row>
    <row r="13" spans="1:21" x14ac:dyDescent="0.25">
      <c r="A13" s="486"/>
      <c r="B13" s="487"/>
      <c r="C13" s="488"/>
      <c r="D13" s="100" t="s">
        <v>110</v>
      </c>
      <c r="E13" s="99">
        <f>+E31</f>
        <v>199277</v>
      </c>
      <c r="F13" s="65" t="s">
        <v>111</v>
      </c>
      <c r="G13" s="61"/>
      <c r="H13" s="101">
        <v>3339765.9800073262</v>
      </c>
      <c r="I13" s="101">
        <v>1818.6457996042614</v>
      </c>
      <c r="J13" s="101">
        <v>3341584.6258069305</v>
      </c>
      <c r="K13" s="61" t="s">
        <v>63</v>
      </c>
      <c r="L13" s="81">
        <v>706.00000000000034</v>
      </c>
      <c r="M13" s="72">
        <v>710705.76816995174</v>
      </c>
      <c r="N13" s="81">
        <v>776.60000000000048</v>
      </c>
      <c r="O13" s="72">
        <v>765684.59815056808</v>
      </c>
      <c r="P13" s="81">
        <v>847.19999999999982</v>
      </c>
      <c r="Q13" s="72">
        <v>820663.42813118396</v>
      </c>
      <c r="R13" s="81">
        <v>635.4000000000002</v>
      </c>
      <c r="S13" s="72">
        <v>655726.93818933552</v>
      </c>
      <c r="T13" s="81">
        <v>564.80000000000007</v>
      </c>
      <c r="U13" s="72">
        <v>600748.10820871929</v>
      </c>
    </row>
    <row r="14" spans="1:21" ht="15" customHeight="1" x14ac:dyDescent="0.25">
      <c r="A14" s="486"/>
      <c r="B14" s="487"/>
      <c r="C14" s="488"/>
      <c r="D14" s="102" t="s">
        <v>112</v>
      </c>
      <c r="E14" s="72">
        <f>+E13-E11</f>
        <v>-358</v>
      </c>
      <c r="F14" s="492" t="s">
        <v>207</v>
      </c>
      <c r="G14" s="484"/>
      <c r="H14" s="484"/>
      <c r="I14" s="484"/>
      <c r="J14" s="485"/>
      <c r="K14" s="61" t="s">
        <v>64</v>
      </c>
      <c r="L14" s="81">
        <v>520</v>
      </c>
      <c r="M14" s="72">
        <v>520654.16732278373</v>
      </c>
      <c r="N14" s="81">
        <v>571.99999999999989</v>
      </c>
      <c r="O14" s="72">
        <v>561349.1888693478</v>
      </c>
      <c r="P14" s="81">
        <v>623.99999999999989</v>
      </c>
      <c r="Q14" s="72">
        <v>602044.21041591186</v>
      </c>
      <c r="R14" s="81">
        <v>467.99999999999989</v>
      </c>
      <c r="S14" s="72">
        <v>479959.14577621984</v>
      </c>
      <c r="T14" s="81">
        <v>415.99999999999989</v>
      </c>
      <c r="U14" s="72">
        <v>439264.12422965572</v>
      </c>
    </row>
    <row r="15" spans="1:21" x14ac:dyDescent="0.25">
      <c r="A15" s="486"/>
      <c r="B15" s="487"/>
      <c r="C15" s="488"/>
      <c r="D15" s="102" t="s">
        <v>113</v>
      </c>
      <c r="E15" s="103">
        <f>+E14/E11</f>
        <v>-1.7932727227189622E-3</v>
      </c>
      <c r="F15" s="486"/>
      <c r="G15" s="487"/>
      <c r="H15" s="487"/>
      <c r="I15" s="487"/>
      <c r="J15" s="488"/>
      <c r="K15" s="61" t="s">
        <v>34</v>
      </c>
      <c r="L15" s="81">
        <v>251</v>
      </c>
      <c r="M15" s="72">
        <v>270468.66278206086</v>
      </c>
      <c r="N15" s="81">
        <v>276.10000000000002</v>
      </c>
      <c r="O15" s="72">
        <v>292350.81589647749</v>
      </c>
      <c r="P15" s="81">
        <v>301.2</v>
      </c>
      <c r="Q15" s="72">
        <v>314232.96901089401</v>
      </c>
      <c r="R15" s="81">
        <v>225.9</v>
      </c>
      <c r="S15" s="72">
        <v>248586.50966764422</v>
      </c>
      <c r="T15" s="81">
        <v>200.80000000000004</v>
      </c>
      <c r="U15" s="72">
        <v>226704.35655322755</v>
      </c>
    </row>
    <row r="16" spans="1:21" x14ac:dyDescent="0.25">
      <c r="A16" s="489"/>
      <c r="B16" s="490"/>
      <c r="C16" s="491"/>
      <c r="D16" s="104"/>
      <c r="E16" s="105"/>
      <c r="F16" s="489"/>
      <c r="G16" s="490"/>
      <c r="H16" s="490"/>
      <c r="I16" s="490"/>
      <c r="J16" s="491"/>
      <c r="K16" s="61" t="s">
        <v>35</v>
      </c>
      <c r="L16" s="81">
        <v>74</v>
      </c>
      <c r="M16" s="72">
        <v>150432.66783106915</v>
      </c>
      <c r="N16" s="81">
        <v>81.399999999999949</v>
      </c>
      <c r="O16" s="72">
        <v>157073.56054457731</v>
      </c>
      <c r="P16" s="81">
        <v>88.800000000000068</v>
      </c>
      <c r="Q16" s="72">
        <v>163714.4532580855</v>
      </c>
      <c r="R16" s="81">
        <v>66.599999999999994</v>
      </c>
      <c r="S16" s="72">
        <v>143791.77511756102</v>
      </c>
      <c r="T16" s="81">
        <v>59.199999999999974</v>
      </c>
      <c r="U16" s="72">
        <v>137150.88240405283</v>
      </c>
    </row>
    <row r="17" spans="1:21" x14ac:dyDescent="0.25">
      <c r="A17" s="2"/>
      <c r="B17" s="3"/>
      <c r="C17" s="3"/>
      <c r="D17" s="3"/>
      <c r="E17" s="106"/>
      <c r="F17" s="107"/>
      <c r="G17" s="3"/>
      <c r="H17" s="3"/>
      <c r="I17" s="3"/>
      <c r="J17" s="4"/>
      <c r="K17" s="61" t="s">
        <v>36</v>
      </c>
      <c r="L17" s="81">
        <v>5.0000000000000044</v>
      </c>
      <c r="M17" s="72">
        <v>102138.06028968154</v>
      </c>
      <c r="N17" s="81">
        <v>5.5000000000000053</v>
      </c>
      <c r="O17" s="72">
        <v>102630.43735369042</v>
      </c>
      <c r="P17" s="81">
        <v>6.000000000000008</v>
      </c>
      <c r="Q17" s="72">
        <v>103122.81441769929</v>
      </c>
      <c r="R17" s="81">
        <v>4.5000000000000053</v>
      </c>
      <c r="S17" s="72">
        <v>101645.68322567262</v>
      </c>
      <c r="T17" s="81">
        <v>4.000000000000008</v>
      </c>
      <c r="U17" s="72">
        <v>101153.30616166371</v>
      </c>
    </row>
    <row r="18" spans="1:21" ht="15.6" x14ac:dyDescent="0.3">
      <c r="A18" s="493" t="s">
        <v>114</v>
      </c>
      <c r="B18" s="494"/>
      <c r="C18" s="494"/>
      <c r="D18" s="494"/>
      <c r="E18" s="494"/>
      <c r="F18" s="494"/>
      <c r="G18" s="494"/>
      <c r="H18" s="494"/>
      <c r="I18" s="494"/>
      <c r="J18" s="495"/>
      <c r="K18" s="61" t="s">
        <v>37</v>
      </c>
      <c r="L18" s="81">
        <v>0</v>
      </c>
      <c r="M18" s="72">
        <v>97932.158198594727</v>
      </c>
      <c r="N18" s="81">
        <v>0</v>
      </c>
      <c r="O18" s="72">
        <v>97938.068192242165</v>
      </c>
      <c r="P18" s="81">
        <v>0</v>
      </c>
      <c r="Q18" s="72">
        <v>97943.978185889646</v>
      </c>
      <c r="R18" s="81">
        <v>0</v>
      </c>
      <c r="S18" s="72">
        <v>97926.248204947304</v>
      </c>
      <c r="T18" s="81">
        <v>0</v>
      </c>
      <c r="U18" s="72">
        <v>97920.338211299837</v>
      </c>
    </row>
    <row r="19" spans="1:21" x14ac:dyDescent="0.25">
      <c r="A19" s="60" t="s">
        <v>67</v>
      </c>
      <c r="B19" s="472" t="s">
        <v>115</v>
      </c>
      <c r="C19" s="473"/>
      <c r="D19" s="474"/>
      <c r="E19" s="60" t="s">
        <v>116</v>
      </c>
      <c r="F19" s="472" t="s">
        <v>117</v>
      </c>
      <c r="G19" s="475"/>
      <c r="H19" s="476"/>
      <c r="I19" s="476"/>
      <c r="J19" s="477"/>
      <c r="K19" s="61" t="s">
        <v>38</v>
      </c>
      <c r="L19" s="81">
        <v>0.999999999999999</v>
      </c>
      <c r="M19" s="72">
        <v>103513.11308278852</v>
      </c>
      <c r="N19" s="81">
        <v>1.0999999999999992</v>
      </c>
      <c r="O19" s="72">
        <v>103596.72333041027</v>
      </c>
      <c r="P19" s="81">
        <v>1.1999999999999997</v>
      </c>
      <c r="Q19" s="72">
        <v>103680.33357803202</v>
      </c>
      <c r="R19" s="81">
        <v>0.89999999999999936</v>
      </c>
      <c r="S19" s="72">
        <v>103429.5028351668</v>
      </c>
      <c r="T19" s="81">
        <v>0.79999999999999938</v>
      </c>
      <c r="U19" s="72">
        <v>103345.89258754496</v>
      </c>
    </row>
    <row r="20" spans="1:21" x14ac:dyDescent="0.25">
      <c r="A20" s="108" t="s">
        <v>119</v>
      </c>
      <c r="B20" s="109" t="s">
        <v>168</v>
      </c>
      <c r="C20" s="110"/>
      <c r="D20" s="111"/>
      <c r="E20" s="72">
        <v>16500</v>
      </c>
      <c r="F20" s="112" t="s">
        <v>166</v>
      </c>
      <c r="G20" s="112"/>
      <c r="H20" s="112"/>
      <c r="I20" s="112"/>
      <c r="J20" s="113"/>
      <c r="K20" s="61" t="s">
        <v>39</v>
      </c>
      <c r="L20" s="81">
        <v>34.999999999999993</v>
      </c>
      <c r="M20" s="72">
        <v>122107.22994474044</v>
      </c>
      <c r="N20" s="81">
        <v>38.5</v>
      </c>
      <c r="O20" s="72">
        <v>124913.24805233598</v>
      </c>
      <c r="P20" s="81">
        <v>41.999999999999993</v>
      </c>
      <c r="Q20" s="72">
        <v>127719.26615993153</v>
      </c>
      <c r="R20" s="81">
        <v>31.5</v>
      </c>
      <c r="S20" s="72">
        <v>119301.21183714492</v>
      </c>
      <c r="T20" s="81">
        <v>27.999999999999993</v>
      </c>
      <c r="U20" s="72">
        <v>116495.19372954936</v>
      </c>
    </row>
    <row r="21" spans="1:21" x14ac:dyDescent="0.25">
      <c r="A21" s="114" t="s">
        <v>119</v>
      </c>
      <c r="B21" s="115" t="s">
        <v>169</v>
      </c>
      <c r="C21" s="116"/>
      <c r="D21" s="117"/>
      <c r="E21" s="72">
        <v>82000</v>
      </c>
      <c r="F21" s="112" t="s">
        <v>170</v>
      </c>
      <c r="G21" s="112"/>
      <c r="H21" s="112"/>
      <c r="I21" s="112"/>
      <c r="J21" s="113"/>
      <c r="K21" s="61" t="s">
        <v>40</v>
      </c>
      <c r="L21" s="81">
        <v>227</v>
      </c>
      <c r="M21" s="72">
        <v>214299.99278271483</v>
      </c>
      <c r="N21" s="81">
        <v>249.70000000000002</v>
      </c>
      <c r="O21" s="72">
        <v>233291.0462932986</v>
      </c>
      <c r="P21" s="81">
        <v>272.40000000000003</v>
      </c>
      <c r="Q21" s="72">
        <v>252282.0998038823</v>
      </c>
      <c r="R21" s="81">
        <v>204.29999999999998</v>
      </c>
      <c r="S21" s="72">
        <v>195308.93927213107</v>
      </c>
      <c r="T21" s="81">
        <v>181.60000000000005</v>
      </c>
      <c r="U21" s="72">
        <v>176317.88576154737</v>
      </c>
    </row>
    <row r="22" spans="1:21" x14ac:dyDescent="0.25">
      <c r="A22" s="114" t="s">
        <v>131</v>
      </c>
      <c r="B22" s="115" t="s">
        <v>132</v>
      </c>
      <c r="C22" s="116"/>
      <c r="D22" s="117"/>
      <c r="E22" s="176">
        <v>78749</v>
      </c>
      <c r="F22" s="112" t="s">
        <v>133</v>
      </c>
      <c r="G22" s="112"/>
      <c r="H22" s="112"/>
      <c r="I22" s="112"/>
      <c r="J22" s="113"/>
      <c r="K22" s="61" t="s">
        <v>65</v>
      </c>
      <c r="L22" s="81">
        <v>500</v>
      </c>
      <c r="M22" s="72">
        <v>440099.38570094365</v>
      </c>
      <c r="N22" s="81">
        <v>550.00000000000011</v>
      </c>
      <c r="O22" s="72">
        <v>478549.30832124723</v>
      </c>
      <c r="P22" s="81">
        <v>600</v>
      </c>
      <c r="Q22" s="72">
        <v>516999.23094155075</v>
      </c>
      <c r="R22" s="81">
        <v>450.00000000000006</v>
      </c>
      <c r="S22" s="72">
        <v>401649.46308064024</v>
      </c>
      <c r="T22" s="81">
        <v>400.00000000000011</v>
      </c>
      <c r="U22" s="72">
        <v>363199.5404603366</v>
      </c>
    </row>
    <row r="23" spans="1:21" x14ac:dyDescent="0.25">
      <c r="A23" s="114"/>
      <c r="B23" s="115"/>
      <c r="C23" s="116"/>
      <c r="D23" s="117"/>
      <c r="E23" s="72"/>
      <c r="F23" s="112" t="s">
        <v>134</v>
      </c>
      <c r="G23" s="112"/>
      <c r="H23" s="112"/>
      <c r="I23" s="112"/>
      <c r="J23" s="113"/>
      <c r="K23" s="61" t="s">
        <v>66</v>
      </c>
      <c r="L23" s="81">
        <v>821.00000000000011</v>
      </c>
      <c r="M23" s="72">
        <v>765190.57917106815</v>
      </c>
      <c r="N23" s="81">
        <v>903.1</v>
      </c>
      <c r="O23" s="72">
        <v>828542.3312231719</v>
      </c>
      <c r="P23" s="81">
        <v>985.1999999999997</v>
      </c>
      <c r="Q23" s="72">
        <v>891894.08327527507</v>
      </c>
      <c r="R23" s="81">
        <v>738.90000000000009</v>
      </c>
      <c r="S23" s="72">
        <v>701838.82711896475</v>
      </c>
      <c r="T23" s="81">
        <v>656.8</v>
      </c>
      <c r="U23" s="72">
        <v>638487.07506686111</v>
      </c>
    </row>
    <row r="24" spans="1:21" x14ac:dyDescent="0.25">
      <c r="A24" s="114"/>
      <c r="B24" s="115"/>
      <c r="C24" s="116"/>
      <c r="D24" s="117"/>
      <c r="E24" s="72"/>
      <c r="F24" s="112" t="s">
        <v>135</v>
      </c>
      <c r="G24" s="112"/>
      <c r="H24" s="112"/>
      <c r="I24" s="112"/>
      <c r="J24" s="113"/>
      <c r="K24" s="118" t="s">
        <v>121</v>
      </c>
      <c r="L24" s="119">
        <v>4048.0000000000005</v>
      </c>
      <c r="M24" s="119">
        <v>4400657.8649189761</v>
      </c>
      <c r="N24" s="119">
        <v>4452.8000000000011</v>
      </c>
      <c r="O24" s="119">
        <v>4719460.9527121</v>
      </c>
      <c r="P24" s="119">
        <v>4857.5999999999995</v>
      </c>
      <c r="Q24" s="119">
        <v>5038264.040505222</v>
      </c>
      <c r="R24" s="119">
        <v>3643.2000000000007</v>
      </c>
      <c r="S24" s="119">
        <v>4081854.7771258545</v>
      </c>
      <c r="T24" s="119">
        <v>3238.3999999999996</v>
      </c>
      <c r="U24" s="119">
        <v>3763051.6893327301</v>
      </c>
    </row>
    <row r="25" spans="1:21" x14ac:dyDescent="0.25">
      <c r="A25" s="114" t="s">
        <v>119</v>
      </c>
      <c r="B25" s="115" t="s">
        <v>171</v>
      </c>
      <c r="C25" s="116"/>
      <c r="D25" s="117"/>
      <c r="E25" s="72">
        <v>10000</v>
      </c>
      <c r="F25" s="112" t="s">
        <v>166</v>
      </c>
      <c r="G25" s="112"/>
      <c r="H25" s="112"/>
      <c r="I25" s="112"/>
      <c r="J25" s="113"/>
      <c r="K25" s="118" t="s">
        <v>122</v>
      </c>
      <c r="L25" s="119">
        <v>3455.0000000000005</v>
      </c>
      <c r="M25" s="119">
        <v>3339765.9800073262</v>
      </c>
      <c r="N25" s="119">
        <v>3800.5000000000009</v>
      </c>
      <c r="O25" s="119">
        <v>3607667.053049067</v>
      </c>
      <c r="P25" s="119">
        <v>4146</v>
      </c>
      <c r="Q25" s="119">
        <v>3875568.1260908069</v>
      </c>
      <c r="R25" s="119">
        <v>3109.5000000000005</v>
      </c>
      <c r="S25" s="119">
        <v>3071864.9069655864</v>
      </c>
      <c r="T25" s="119">
        <v>2764</v>
      </c>
      <c r="U25" s="119">
        <v>2803963.8339238451</v>
      </c>
    </row>
    <row r="26" spans="1:21" x14ac:dyDescent="0.25">
      <c r="A26" s="160" t="s">
        <v>119</v>
      </c>
      <c r="B26" s="161" t="s">
        <v>208</v>
      </c>
      <c r="C26" s="145"/>
      <c r="D26" s="162"/>
      <c r="E26" s="176">
        <f>4828-2300</f>
        <v>2528</v>
      </c>
      <c r="F26" s="174" t="s">
        <v>203</v>
      </c>
      <c r="G26" s="174"/>
      <c r="H26" s="174"/>
      <c r="I26" s="174"/>
      <c r="J26" s="163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2"/>
    </row>
    <row r="27" spans="1:21" ht="15.6" x14ac:dyDescent="0.25">
      <c r="A27" s="157" t="s">
        <v>136</v>
      </c>
      <c r="B27" s="164" t="s">
        <v>142</v>
      </c>
      <c r="C27" s="112"/>
      <c r="D27" s="165"/>
      <c r="E27" s="72">
        <v>6000</v>
      </c>
      <c r="F27" s="112" t="s">
        <v>172</v>
      </c>
      <c r="G27" s="112"/>
      <c r="H27" s="112"/>
      <c r="I27" s="112"/>
      <c r="J27" s="113"/>
      <c r="K27" s="480" t="s">
        <v>123</v>
      </c>
      <c r="L27" s="481"/>
      <c r="M27" s="481"/>
      <c r="N27" s="481"/>
      <c r="O27" s="481"/>
      <c r="P27" s="481"/>
      <c r="Q27" s="481"/>
      <c r="R27" s="481"/>
      <c r="S27" s="481"/>
      <c r="T27" s="481"/>
      <c r="U27" s="482"/>
    </row>
    <row r="28" spans="1:21" x14ac:dyDescent="0.25">
      <c r="A28" s="172" t="s">
        <v>201</v>
      </c>
      <c r="B28" s="115"/>
      <c r="C28" s="116"/>
      <c r="D28" s="117"/>
      <c r="E28" s="176">
        <v>3500</v>
      </c>
      <c r="F28" s="112" t="s">
        <v>200</v>
      </c>
      <c r="G28" s="112"/>
      <c r="H28" s="112"/>
      <c r="I28" s="112"/>
      <c r="J28" s="113"/>
      <c r="K28" s="89"/>
      <c r="L28" s="90" t="s">
        <v>96</v>
      </c>
      <c r="M28" s="91"/>
      <c r="N28" s="90" t="s">
        <v>97</v>
      </c>
      <c r="O28" s="91"/>
      <c r="P28" s="90" t="s">
        <v>98</v>
      </c>
      <c r="Q28" s="91"/>
      <c r="R28" s="90" t="s">
        <v>99</v>
      </c>
      <c r="S28" s="91"/>
      <c r="T28" s="90" t="s">
        <v>100</v>
      </c>
      <c r="U28" s="92"/>
    </row>
    <row r="29" spans="1:21" x14ac:dyDescent="0.25">
      <c r="A29" s="114"/>
      <c r="B29" s="115"/>
      <c r="C29" s="116"/>
      <c r="D29" s="117"/>
      <c r="E29" s="72"/>
      <c r="F29" s="112"/>
      <c r="G29" s="112"/>
      <c r="H29" s="112"/>
      <c r="I29" s="112"/>
      <c r="J29" s="113"/>
      <c r="K29" s="95" t="s">
        <v>106</v>
      </c>
      <c r="L29" s="171" t="s">
        <v>107</v>
      </c>
      <c r="M29" s="171" t="s">
        <v>48</v>
      </c>
      <c r="N29" s="171" t="s">
        <v>107</v>
      </c>
      <c r="O29" s="171" t="s">
        <v>48</v>
      </c>
      <c r="P29" s="171" t="s">
        <v>107</v>
      </c>
      <c r="Q29" s="171" t="s">
        <v>48</v>
      </c>
      <c r="R29" s="171" t="s">
        <v>107</v>
      </c>
      <c r="S29" s="171" t="s">
        <v>48</v>
      </c>
      <c r="T29" s="171" t="s">
        <v>107</v>
      </c>
      <c r="U29" s="171" t="s">
        <v>48</v>
      </c>
    </row>
    <row r="30" spans="1:21" x14ac:dyDescent="0.25">
      <c r="A30" s="123"/>
      <c r="B30" s="124"/>
      <c r="C30" s="125"/>
      <c r="D30" s="126"/>
      <c r="E30" s="127"/>
      <c r="F30" s="179">
        <f>E31-199277</f>
        <v>0</v>
      </c>
      <c r="G30" s="112"/>
      <c r="H30" s="112"/>
      <c r="I30" s="112"/>
      <c r="J30" s="113"/>
      <c r="K30" s="61" t="s">
        <v>62</v>
      </c>
      <c r="L30" s="98">
        <v>908.00000000000011</v>
      </c>
      <c r="M30" s="99">
        <v>340.64495608753623</v>
      </c>
      <c r="N30" s="98">
        <v>998.80000000000052</v>
      </c>
      <c r="O30" s="99">
        <v>351.72912436883553</v>
      </c>
      <c r="P30" s="98">
        <v>1089.6000000000004</v>
      </c>
      <c r="Q30" s="99">
        <v>362.81329265013449</v>
      </c>
      <c r="R30" s="98">
        <v>817.20000000000016</v>
      </c>
      <c r="S30" s="99">
        <v>329.56078780623704</v>
      </c>
      <c r="T30" s="98">
        <v>726.39999999999986</v>
      </c>
      <c r="U30" s="99">
        <v>318.47661952493769</v>
      </c>
    </row>
    <row r="31" spans="1:21" x14ac:dyDescent="0.25">
      <c r="A31" s="128"/>
      <c r="B31" s="129"/>
      <c r="C31" s="129"/>
      <c r="D31" s="129" t="s">
        <v>124</v>
      </c>
      <c r="E31" s="130">
        <f>SUM(E20:E30)</f>
        <v>199277</v>
      </c>
      <c r="F31" s="131"/>
      <c r="G31" s="131"/>
      <c r="H31" s="131"/>
      <c r="I31" s="131"/>
      <c r="J31" s="132"/>
      <c r="K31" s="61" t="s">
        <v>63</v>
      </c>
      <c r="L31" s="81">
        <v>706.00000000000034</v>
      </c>
      <c r="M31" s="72">
        <v>452.21517945156342</v>
      </c>
      <c r="N31" s="81">
        <v>776.60000000000048</v>
      </c>
      <c r="O31" s="72">
        <v>460.97468856586693</v>
      </c>
      <c r="P31" s="81">
        <v>847.19999999999982</v>
      </c>
      <c r="Q31" s="72">
        <v>469.73419768017021</v>
      </c>
      <c r="R31" s="81">
        <v>635.4000000000002</v>
      </c>
      <c r="S31" s="72">
        <v>443.45567033725996</v>
      </c>
      <c r="T31" s="81">
        <v>564.80000000000007</v>
      </c>
      <c r="U31" s="72">
        <v>434.69616122295662</v>
      </c>
    </row>
    <row r="32" spans="1:21" x14ac:dyDescent="0.25">
      <c r="A32" s="133"/>
      <c r="B32" s="134"/>
      <c r="C32" s="134"/>
      <c r="D32" s="135"/>
      <c r="E32" s="136"/>
      <c r="F32" s="137"/>
      <c r="G32" s="137"/>
      <c r="H32" s="137"/>
      <c r="I32" s="137"/>
      <c r="J32" s="138"/>
      <c r="K32" s="61" t="s">
        <v>64</v>
      </c>
      <c r="L32" s="81">
        <v>520</v>
      </c>
      <c r="M32" s="72">
        <v>555.28772967819009</v>
      </c>
      <c r="N32" s="81">
        <v>571.99999999999989</v>
      </c>
      <c r="O32" s="72">
        <v>561.87327366319153</v>
      </c>
      <c r="P32" s="81">
        <v>623.99999999999989</v>
      </c>
      <c r="Q32" s="72">
        <v>568.45881764819285</v>
      </c>
      <c r="R32" s="81">
        <v>467.99999999999989</v>
      </c>
      <c r="S32" s="72">
        <v>548.70218569318922</v>
      </c>
      <c r="T32" s="81">
        <v>415.99999999999989</v>
      </c>
      <c r="U32" s="72">
        <v>542.11664170818813</v>
      </c>
    </row>
    <row r="33" spans="1:21" ht="15.6" x14ac:dyDescent="0.3">
      <c r="A33" s="493" t="s">
        <v>125</v>
      </c>
      <c r="B33" s="494"/>
      <c r="C33" s="494"/>
      <c r="D33" s="494"/>
      <c r="E33" s="494"/>
      <c r="F33" s="494"/>
      <c r="G33" s="494"/>
      <c r="H33" s="494"/>
      <c r="I33" s="494"/>
      <c r="J33" s="495"/>
      <c r="K33" s="61" t="s">
        <v>34</v>
      </c>
      <c r="L33" s="81">
        <v>251</v>
      </c>
      <c r="M33" s="72">
        <v>337.96557971889263</v>
      </c>
      <c r="N33" s="81">
        <v>276.10000000000002</v>
      </c>
      <c r="O33" s="72">
        <v>340.81123854693328</v>
      </c>
      <c r="P33" s="81">
        <v>301.2</v>
      </c>
      <c r="Q33" s="72">
        <v>343.65689737497405</v>
      </c>
      <c r="R33" s="81">
        <v>225.9</v>
      </c>
      <c r="S33" s="72">
        <v>335.1199208908522</v>
      </c>
      <c r="T33" s="81">
        <v>200.80000000000004</v>
      </c>
      <c r="U33" s="72">
        <v>332.27426206281172</v>
      </c>
    </row>
    <row r="34" spans="1:21" x14ac:dyDescent="0.25">
      <c r="A34" s="60" t="s">
        <v>67</v>
      </c>
      <c r="B34" s="472" t="s">
        <v>115</v>
      </c>
      <c r="C34" s="473"/>
      <c r="D34" s="474"/>
      <c r="E34" s="60" t="s">
        <v>116</v>
      </c>
      <c r="F34" s="472" t="s">
        <v>117</v>
      </c>
      <c r="G34" s="475"/>
      <c r="H34" s="476"/>
      <c r="I34" s="476"/>
      <c r="J34" s="477"/>
      <c r="K34" s="61" t="s">
        <v>35</v>
      </c>
      <c r="L34" s="81">
        <v>74</v>
      </c>
      <c r="M34" s="72">
        <v>133.12337852367864</v>
      </c>
      <c r="N34" s="81">
        <v>81.399999999999949</v>
      </c>
      <c r="O34" s="72">
        <v>133.65678282178879</v>
      </c>
      <c r="P34" s="81">
        <v>88.800000000000068</v>
      </c>
      <c r="Q34" s="72">
        <v>134.19018711989895</v>
      </c>
      <c r="R34" s="81">
        <v>66.599999999999994</v>
      </c>
      <c r="S34" s="72">
        <v>132.58997422556877</v>
      </c>
      <c r="T34" s="81">
        <v>59.199999999999974</v>
      </c>
      <c r="U34" s="72">
        <v>132.05656992745881</v>
      </c>
    </row>
    <row r="35" spans="1:21" x14ac:dyDescent="0.25">
      <c r="A35" s="108"/>
      <c r="B35" s="109"/>
      <c r="C35" s="110"/>
      <c r="D35" s="139"/>
      <c r="E35" s="99"/>
      <c r="F35" s="140"/>
      <c r="G35" s="140"/>
      <c r="H35" s="140"/>
      <c r="I35" s="140"/>
      <c r="J35" s="141"/>
      <c r="K35" s="61" t="s">
        <v>36</v>
      </c>
      <c r="L35" s="81">
        <v>5.0000000000000044</v>
      </c>
      <c r="M35" s="72">
        <v>46.365789446138756</v>
      </c>
      <c r="N35" s="81">
        <v>5.5000000000000053</v>
      </c>
      <c r="O35" s="72">
        <v>46.252352789925787</v>
      </c>
      <c r="P35" s="81">
        <v>6.000000000000008</v>
      </c>
      <c r="Q35" s="72">
        <v>46.138916133712847</v>
      </c>
      <c r="R35" s="81">
        <v>4.5000000000000053</v>
      </c>
      <c r="S35" s="72">
        <v>46.479226102351852</v>
      </c>
      <c r="T35" s="81">
        <v>4.000000000000008</v>
      </c>
      <c r="U35" s="72">
        <v>46.592662758564806</v>
      </c>
    </row>
    <row r="36" spans="1:21" x14ac:dyDescent="0.25">
      <c r="A36" s="114"/>
      <c r="B36" s="115"/>
      <c r="C36" s="116"/>
      <c r="D36" s="142"/>
      <c r="E36" s="72"/>
      <c r="F36" s="112"/>
      <c r="G36" s="112"/>
      <c r="H36" s="112"/>
      <c r="I36" s="112"/>
      <c r="J36" s="113"/>
      <c r="K36" s="61" t="s">
        <v>37</v>
      </c>
      <c r="L36" s="81">
        <v>0</v>
      </c>
      <c r="M36" s="72">
        <v>16.657934580083733</v>
      </c>
      <c r="N36" s="81">
        <v>0</v>
      </c>
      <c r="O36" s="72">
        <v>16.588296366498135</v>
      </c>
      <c r="P36" s="81">
        <v>0</v>
      </c>
      <c r="Q36" s="72">
        <v>16.518658152912536</v>
      </c>
      <c r="R36" s="81">
        <v>0</v>
      </c>
      <c r="S36" s="72">
        <v>16.727572793669367</v>
      </c>
      <c r="T36" s="81">
        <v>0</v>
      </c>
      <c r="U36" s="72">
        <v>16.79721100725493</v>
      </c>
    </row>
    <row r="37" spans="1:21" x14ac:dyDescent="0.25">
      <c r="A37" s="114"/>
      <c r="B37" s="115"/>
      <c r="C37" s="116"/>
      <c r="D37" s="142"/>
      <c r="E37" s="72"/>
      <c r="F37" s="112"/>
      <c r="G37" s="112"/>
      <c r="H37" s="112"/>
      <c r="I37" s="112"/>
      <c r="J37" s="113"/>
      <c r="K37" s="61" t="s">
        <v>38</v>
      </c>
      <c r="L37" s="81">
        <v>0.999999999999999</v>
      </c>
      <c r="M37" s="72">
        <v>8.5920770169628167</v>
      </c>
      <c r="N37" s="81">
        <v>1.0999999999999992</v>
      </c>
      <c r="O37" s="72">
        <v>8.5765720361715161</v>
      </c>
      <c r="P37" s="81">
        <v>1.1999999999999997</v>
      </c>
      <c r="Q37" s="72">
        <v>8.5610670553802031</v>
      </c>
      <c r="R37" s="81">
        <v>0.89999999999999936</v>
      </c>
      <c r="S37" s="72">
        <v>8.607581997754135</v>
      </c>
      <c r="T37" s="81">
        <v>0.79999999999999938</v>
      </c>
      <c r="U37" s="72">
        <v>8.6230869785454392</v>
      </c>
    </row>
    <row r="38" spans="1:21" x14ac:dyDescent="0.25">
      <c r="A38" s="114"/>
      <c r="B38" s="115"/>
      <c r="C38" s="116"/>
      <c r="D38" s="142"/>
      <c r="E38" s="72"/>
      <c r="F38" s="112"/>
      <c r="G38" s="112"/>
      <c r="H38" s="112"/>
      <c r="I38" s="112"/>
      <c r="J38" s="113"/>
      <c r="K38" s="61" t="s">
        <v>39</v>
      </c>
      <c r="L38" s="81">
        <v>34.999999999999993</v>
      </c>
      <c r="M38" s="72">
        <v>0</v>
      </c>
      <c r="N38" s="81">
        <v>38.5</v>
      </c>
      <c r="O38" s="72">
        <v>0</v>
      </c>
      <c r="P38" s="81">
        <v>41.999999999999993</v>
      </c>
      <c r="Q38" s="72">
        <v>0</v>
      </c>
      <c r="R38" s="81">
        <v>31.5</v>
      </c>
      <c r="S38" s="72">
        <v>0</v>
      </c>
      <c r="T38" s="81">
        <v>27.999999999999993</v>
      </c>
      <c r="U38" s="72">
        <v>0</v>
      </c>
    </row>
    <row r="39" spans="1:21" x14ac:dyDescent="0.25">
      <c r="A39" s="114"/>
      <c r="B39" s="115"/>
      <c r="C39" s="116"/>
      <c r="D39" s="142"/>
      <c r="E39" s="72"/>
      <c r="F39" s="112"/>
      <c r="G39" s="112"/>
      <c r="H39" s="112"/>
      <c r="I39" s="112"/>
      <c r="J39" s="113"/>
      <c r="K39" s="61" t="s">
        <v>40</v>
      </c>
      <c r="L39" s="81">
        <v>227</v>
      </c>
      <c r="M39" s="72">
        <v>3.0809896230810669</v>
      </c>
      <c r="N39" s="81">
        <v>249.70000000000002</v>
      </c>
      <c r="O39" s="72">
        <v>5.4048630672070965</v>
      </c>
      <c r="P39" s="81">
        <v>272.40000000000003</v>
      </c>
      <c r="Q39" s="72">
        <v>7.7287365113331425</v>
      </c>
      <c r="R39" s="81">
        <v>204.29999999999998</v>
      </c>
      <c r="S39" s="72">
        <v>0.75711617895500571</v>
      </c>
      <c r="T39" s="81">
        <v>181.60000000000005</v>
      </c>
      <c r="U39" s="72">
        <v>0</v>
      </c>
    </row>
    <row r="40" spans="1:21" x14ac:dyDescent="0.25">
      <c r="A40" s="114"/>
      <c r="B40" s="115"/>
      <c r="C40" s="116"/>
      <c r="D40" s="142"/>
      <c r="E40" s="72"/>
      <c r="F40" s="112"/>
      <c r="G40" s="112"/>
      <c r="H40" s="112"/>
      <c r="I40" s="112"/>
      <c r="J40" s="113"/>
      <c r="K40" s="61" t="s">
        <v>65</v>
      </c>
      <c r="L40" s="81">
        <v>500</v>
      </c>
      <c r="M40" s="72">
        <v>210.77427405957479</v>
      </c>
      <c r="N40" s="81">
        <v>550.00000000000011</v>
      </c>
      <c r="O40" s="72">
        <v>216.36432813377627</v>
      </c>
      <c r="P40" s="81">
        <v>600</v>
      </c>
      <c r="Q40" s="72">
        <v>221.95438220797772</v>
      </c>
      <c r="R40" s="81">
        <v>450.00000000000006</v>
      </c>
      <c r="S40" s="72">
        <v>205.18421998537326</v>
      </c>
      <c r="T40" s="81">
        <v>400.00000000000011</v>
      </c>
      <c r="U40" s="72">
        <v>199.59416591117176</v>
      </c>
    </row>
    <row r="41" spans="1:21" x14ac:dyDescent="0.25">
      <c r="A41" s="114"/>
      <c r="B41" s="115"/>
      <c r="C41" s="116"/>
      <c r="D41" s="142"/>
      <c r="E41" s="72"/>
      <c r="F41" s="112"/>
      <c r="G41" s="112"/>
      <c r="H41" s="112"/>
      <c r="I41" s="112"/>
      <c r="J41" s="113"/>
      <c r="K41" s="61" t="s">
        <v>66</v>
      </c>
      <c r="L41" s="81">
        <v>821.00000000000011</v>
      </c>
      <c r="M41" s="72">
        <v>259.72366032739671</v>
      </c>
      <c r="N41" s="81">
        <v>903.1</v>
      </c>
      <c r="O41" s="72">
        <v>269.51939647630911</v>
      </c>
      <c r="P41" s="81">
        <v>985.1999999999997</v>
      </c>
      <c r="Q41" s="72">
        <v>279.31513262522122</v>
      </c>
      <c r="R41" s="81">
        <v>738.90000000000009</v>
      </c>
      <c r="S41" s="72">
        <v>249.92792417848455</v>
      </c>
      <c r="T41" s="81">
        <v>656.8</v>
      </c>
      <c r="U41" s="72">
        <v>240.13218802957226</v>
      </c>
    </row>
    <row r="42" spans="1:21" x14ac:dyDescent="0.25">
      <c r="A42" s="114"/>
      <c r="B42" s="115"/>
      <c r="C42" s="116"/>
      <c r="D42" s="142"/>
      <c r="E42" s="72"/>
      <c r="F42" s="112"/>
      <c r="G42" s="112"/>
      <c r="H42" s="112"/>
      <c r="I42" s="112"/>
      <c r="J42" s="113"/>
      <c r="K42" s="118" t="s">
        <v>126</v>
      </c>
      <c r="L42" s="119">
        <v>4048.0000000000005</v>
      </c>
      <c r="M42" s="119">
        <v>2364.4315485130992</v>
      </c>
      <c r="N42" s="119">
        <v>4452.8000000000011</v>
      </c>
      <c r="O42" s="119">
        <v>2411.7509168365032</v>
      </c>
      <c r="P42" s="119">
        <v>4857.5999999999995</v>
      </c>
      <c r="Q42" s="119">
        <v>2459.0702851599085</v>
      </c>
      <c r="R42" s="119">
        <v>3643.2000000000007</v>
      </c>
      <c r="S42" s="119">
        <v>2317.1121801896952</v>
      </c>
      <c r="T42" s="119">
        <v>3238.3999999999996</v>
      </c>
      <c r="U42" s="119">
        <v>2271.3595691314622</v>
      </c>
    </row>
    <row r="43" spans="1:21" x14ac:dyDescent="0.25">
      <c r="A43" s="114"/>
      <c r="B43" s="115"/>
      <c r="C43" s="116"/>
      <c r="D43" s="142"/>
      <c r="E43" s="72"/>
      <c r="F43" s="112"/>
      <c r="G43" s="112"/>
      <c r="H43" s="112"/>
      <c r="I43" s="112"/>
      <c r="J43" s="113"/>
      <c r="K43" s="118" t="s">
        <v>127</v>
      </c>
      <c r="L43" s="119">
        <v>3455.0000000000005</v>
      </c>
      <c r="M43" s="119">
        <v>1818.6457996042614</v>
      </c>
      <c r="N43" s="119">
        <v>3800.5000000000009</v>
      </c>
      <c r="O43" s="119">
        <v>1860.4608112079793</v>
      </c>
      <c r="P43" s="119">
        <v>4146</v>
      </c>
      <c r="Q43" s="119">
        <v>1902.2758228116966</v>
      </c>
      <c r="R43" s="119">
        <v>3109.5000000000005</v>
      </c>
      <c r="S43" s="119">
        <v>1776.8307880005439</v>
      </c>
      <c r="T43" s="119">
        <v>2764</v>
      </c>
      <c r="U43" s="119">
        <v>1735.0157763968264</v>
      </c>
    </row>
    <row r="44" spans="1:21" x14ac:dyDescent="0.25">
      <c r="A44" s="114"/>
      <c r="B44" s="124"/>
      <c r="C44" s="125"/>
      <c r="D44" s="143"/>
      <c r="E44" s="127"/>
      <c r="F44" s="112"/>
      <c r="G44" s="112"/>
      <c r="H44" s="112"/>
      <c r="I44" s="112"/>
      <c r="J44" s="113"/>
      <c r="K44" s="118" t="s">
        <v>128</v>
      </c>
      <c r="L44" s="119">
        <v>4048.0000000000005</v>
      </c>
      <c r="M44" s="119">
        <v>4403022.2964674896</v>
      </c>
      <c r="N44" s="119">
        <v>4452.8000000000011</v>
      </c>
      <c r="O44" s="119">
        <v>4721872.7036289368</v>
      </c>
      <c r="P44" s="119">
        <v>4857.5999999999995</v>
      </c>
      <c r="Q44" s="119">
        <v>5040723.1107903821</v>
      </c>
      <c r="R44" s="119">
        <v>3643.2000000000007</v>
      </c>
      <c r="S44" s="119">
        <v>4084171.8893060442</v>
      </c>
      <c r="T44" s="119">
        <v>3238.3999999999996</v>
      </c>
      <c r="U44" s="119">
        <v>3765323.0489018615</v>
      </c>
    </row>
    <row r="45" spans="1:21" x14ac:dyDescent="0.25">
      <c r="A45" s="128"/>
      <c r="B45" s="129"/>
      <c r="C45" s="129"/>
      <c r="D45" s="129" t="s">
        <v>129</v>
      </c>
      <c r="E45" s="130">
        <v>0</v>
      </c>
      <c r="F45" s="131"/>
      <c r="G45" s="131"/>
      <c r="H45" s="131"/>
      <c r="I45" s="131"/>
      <c r="J45" s="132"/>
      <c r="K45" s="118" t="s">
        <v>130</v>
      </c>
      <c r="L45" s="119">
        <v>3455.0000000000005</v>
      </c>
      <c r="M45" s="119">
        <v>3341584.6258069305</v>
      </c>
      <c r="N45" s="119">
        <v>3800.5000000000009</v>
      </c>
      <c r="O45" s="119">
        <v>3609527.513860275</v>
      </c>
      <c r="P45" s="119">
        <v>4146</v>
      </c>
      <c r="Q45" s="119">
        <v>3877470.4019136187</v>
      </c>
      <c r="R45" s="119">
        <v>3109.5000000000005</v>
      </c>
      <c r="S45" s="119">
        <v>3073641.7377535868</v>
      </c>
      <c r="T45" s="119">
        <v>2764</v>
      </c>
      <c r="U45" s="119">
        <v>2805698.8497002418</v>
      </c>
    </row>
    <row r="47" spans="1:21" x14ac:dyDescent="0.25">
      <c r="K47" s="61" t="s">
        <v>62</v>
      </c>
      <c r="M47" s="177">
        <f>+M12+M30</f>
        <v>903456.72459866665</v>
      </c>
    </row>
    <row r="48" spans="1:21" x14ac:dyDescent="0.25">
      <c r="K48" s="61" t="s">
        <v>63</v>
      </c>
      <c r="M48" s="177">
        <f t="shared" ref="M48:M49" si="0">+M13+M31</f>
        <v>711157.98334940325</v>
      </c>
    </row>
    <row r="49" spans="1:13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61" t="s">
        <v>64</v>
      </c>
      <c r="M49" s="177">
        <f t="shared" si="0"/>
        <v>521209.45505246194</v>
      </c>
    </row>
    <row r="50" spans="1:13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61" t="s">
        <v>34</v>
      </c>
    </row>
    <row r="51" spans="1:13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61" t="s">
        <v>35</v>
      </c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61" t="s">
        <v>36</v>
      </c>
    </row>
    <row r="53" spans="1:13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61" t="s">
        <v>37</v>
      </c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61" t="s">
        <v>38</v>
      </c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61" t="s">
        <v>39</v>
      </c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61" t="s">
        <v>40</v>
      </c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61" t="s">
        <v>65</v>
      </c>
      <c r="M57" s="177">
        <f t="shared" ref="M57:M58" si="1">+M22+M40</f>
        <v>440310.15997500322</v>
      </c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61" t="s">
        <v>66</v>
      </c>
      <c r="M58" s="177">
        <f t="shared" si="1"/>
        <v>765450.30283139553</v>
      </c>
    </row>
    <row r="59" spans="1:13" ht="14.4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M59" s="178">
        <f>SUM(M47:M58)</f>
        <v>3341584.6258069305</v>
      </c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F4:J4">
    <cfRule type="containsText" dxfId="27" priority="1" stopIfTrue="1" operator="containsText" text="PEAK DAY">
      <formula>NOT(ISERROR(SEARCH("PEAK DAY",F4)))</formula>
    </cfRule>
  </conditionalFormatting>
  <conditionalFormatting sqref="J9">
    <cfRule type="cellIs" dxfId="26" priority="4" stopIfTrue="1" operator="greaterThanOrEqual">
      <formula>$E$11</formula>
    </cfRule>
  </conditionalFormatting>
  <conditionalFormatting sqref="J10">
    <cfRule type="cellIs" dxfId="25" priority="3" stopIfTrue="1" operator="greaterThanOrEqual">
      <formula>$E$11</formula>
    </cfRule>
  </conditionalFormatting>
  <conditionalFormatting sqref="H9">
    <cfRule type="cellIs" dxfId="24" priority="2" stopIfTrue="1" operator="greaterThanOrEqual">
      <formula>$H$6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M49" sqref="M49"/>
    </sheetView>
  </sheetViews>
  <sheetFormatPr defaultRowHeight="13.8" x14ac:dyDescent="0.25"/>
  <cols>
    <col min="1" max="1" width="26.6640625" style="144" customWidth="1"/>
    <col min="2" max="3" width="18.6640625" style="144" customWidth="1"/>
    <col min="4" max="4" width="27.6640625" style="144" customWidth="1"/>
    <col min="5" max="5" width="15.6640625" style="144" customWidth="1"/>
    <col min="6" max="7" width="12.6640625" style="144" customWidth="1"/>
    <col min="8" max="8" width="17.6640625" style="144" customWidth="1"/>
    <col min="9" max="10" width="15.6640625" style="144" customWidth="1"/>
    <col min="11" max="11" width="21.109375" style="47" customWidth="1"/>
    <col min="12" max="13" width="18.6640625" style="47" customWidth="1"/>
    <col min="14" max="21" width="15.88671875" style="47" customWidth="1"/>
    <col min="22" max="256" width="9.109375" style="47"/>
    <col min="257" max="257" width="26.6640625" style="47" customWidth="1"/>
    <col min="258" max="259" width="18.6640625" style="47" customWidth="1"/>
    <col min="260" max="260" width="27.6640625" style="47" customWidth="1"/>
    <col min="261" max="261" width="15.6640625" style="47" customWidth="1"/>
    <col min="262" max="263" width="12.6640625" style="47" customWidth="1"/>
    <col min="264" max="264" width="17.6640625" style="47" customWidth="1"/>
    <col min="265" max="266" width="15.6640625" style="47" customWidth="1"/>
    <col min="267" max="269" width="18.6640625" style="47" customWidth="1"/>
    <col min="270" max="277" width="15.88671875" style="47" customWidth="1"/>
    <col min="278" max="512" width="9.109375" style="47"/>
    <col min="513" max="513" width="26.6640625" style="47" customWidth="1"/>
    <col min="514" max="515" width="18.6640625" style="47" customWidth="1"/>
    <col min="516" max="516" width="27.6640625" style="47" customWidth="1"/>
    <col min="517" max="517" width="15.6640625" style="47" customWidth="1"/>
    <col min="518" max="519" width="12.6640625" style="47" customWidth="1"/>
    <col min="520" max="520" width="17.6640625" style="47" customWidth="1"/>
    <col min="521" max="522" width="15.6640625" style="47" customWidth="1"/>
    <col min="523" max="525" width="18.6640625" style="47" customWidth="1"/>
    <col min="526" max="533" width="15.88671875" style="47" customWidth="1"/>
    <col min="534" max="768" width="9.109375" style="47"/>
    <col min="769" max="769" width="26.6640625" style="47" customWidth="1"/>
    <col min="770" max="771" width="18.6640625" style="47" customWidth="1"/>
    <col min="772" max="772" width="27.6640625" style="47" customWidth="1"/>
    <col min="773" max="773" width="15.6640625" style="47" customWidth="1"/>
    <col min="774" max="775" width="12.6640625" style="47" customWidth="1"/>
    <col min="776" max="776" width="17.6640625" style="47" customWidth="1"/>
    <col min="777" max="778" width="15.6640625" style="47" customWidth="1"/>
    <col min="779" max="781" width="18.6640625" style="47" customWidth="1"/>
    <col min="782" max="789" width="15.88671875" style="47" customWidth="1"/>
    <col min="790" max="1024" width="9.109375" style="47"/>
    <col min="1025" max="1025" width="26.6640625" style="47" customWidth="1"/>
    <col min="1026" max="1027" width="18.6640625" style="47" customWidth="1"/>
    <col min="1028" max="1028" width="27.6640625" style="47" customWidth="1"/>
    <col min="1029" max="1029" width="15.6640625" style="47" customWidth="1"/>
    <col min="1030" max="1031" width="12.6640625" style="47" customWidth="1"/>
    <col min="1032" max="1032" width="17.6640625" style="47" customWidth="1"/>
    <col min="1033" max="1034" width="15.6640625" style="47" customWidth="1"/>
    <col min="1035" max="1037" width="18.6640625" style="47" customWidth="1"/>
    <col min="1038" max="1045" width="15.88671875" style="47" customWidth="1"/>
    <col min="1046" max="1280" width="9.109375" style="47"/>
    <col min="1281" max="1281" width="26.6640625" style="47" customWidth="1"/>
    <col min="1282" max="1283" width="18.6640625" style="47" customWidth="1"/>
    <col min="1284" max="1284" width="27.6640625" style="47" customWidth="1"/>
    <col min="1285" max="1285" width="15.6640625" style="47" customWidth="1"/>
    <col min="1286" max="1287" width="12.6640625" style="47" customWidth="1"/>
    <col min="1288" max="1288" width="17.6640625" style="47" customWidth="1"/>
    <col min="1289" max="1290" width="15.6640625" style="47" customWidth="1"/>
    <col min="1291" max="1293" width="18.6640625" style="47" customWidth="1"/>
    <col min="1294" max="1301" width="15.88671875" style="47" customWidth="1"/>
    <col min="1302" max="1536" width="9.109375" style="47"/>
    <col min="1537" max="1537" width="26.6640625" style="47" customWidth="1"/>
    <col min="1538" max="1539" width="18.6640625" style="47" customWidth="1"/>
    <col min="1540" max="1540" width="27.6640625" style="47" customWidth="1"/>
    <col min="1541" max="1541" width="15.6640625" style="47" customWidth="1"/>
    <col min="1542" max="1543" width="12.6640625" style="47" customWidth="1"/>
    <col min="1544" max="1544" width="17.6640625" style="47" customWidth="1"/>
    <col min="1545" max="1546" width="15.6640625" style="47" customWidth="1"/>
    <col min="1547" max="1549" width="18.6640625" style="47" customWidth="1"/>
    <col min="1550" max="1557" width="15.88671875" style="47" customWidth="1"/>
    <col min="1558" max="1792" width="9.109375" style="47"/>
    <col min="1793" max="1793" width="26.6640625" style="47" customWidth="1"/>
    <col min="1794" max="1795" width="18.6640625" style="47" customWidth="1"/>
    <col min="1796" max="1796" width="27.6640625" style="47" customWidth="1"/>
    <col min="1797" max="1797" width="15.6640625" style="47" customWidth="1"/>
    <col min="1798" max="1799" width="12.6640625" style="47" customWidth="1"/>
    <col min="1800" max="1800" width="17.6640625" style="47" customWidth="1"/>
    <col min="1801" max="1802" width="15.6640625" style="47" customWidth="1"/>
    <col min="1803" max="1805" width="18.6640625" style="47" customWidth="1"/>
    <col min="1806" max="1813" width="15.88671875" style="47" customWidth="1"/>
    <col min="1814" max="2048" width="9.109375" style="47"/>
    <col min="2049" max="2049" width="26.6640625" style="47" customWidth="1"/>
    <col min="2050" max="2051" width="18.6640625" style="47" customWidth="1"/>
    <col min="2052" max="2052" width="27.6640625" style="47" customWidth="1"/>
    <col min="2053" max="2053" width="15.6640625" style="47" customWidth="1"/>
    <col min="2054" max="2055" width="12.6640625" style="47" customWidth="1"/>
    <col min="2056" max="2056" width="17.6640625" style="47" customWidth="1"/>
    <col min="2057" max="2058" width="15.6640625" style="47" customWidth="1"/>
    <col min="2059" max="2061" width="18.6640625" style="47" customWidth="1"/>
    <col min="2062" max="2069" width="15.88671875" style="47" customWidth="1"/>
    <col min="2070" max="2304" width="9.109375" style="47"/>
    <col min="2305" max="2305" width="26.6640625" style="47" customWidth="1"/>
    <col min="2306" max="2307" width="18.6640625" style="47" customWidth="1"/>
    <col min="2308" max="2308" width="27.6640625" style="47" customWidth="1"/>
    <col min="2309" max="2309" width="15.6640625" style="47" customWidth="1"/>
    <col min="2310" max="2311" width="12.6640625" style="47" customWidth="1"/>
    <col min="2312" max="2312" width="17.6640625" style="47" customWidth="1"/>
    <col min="2313" max="2314" width="15.6640625" style="47" customWidth="1"/>
    <col min="2315" max="2317" width="18.6640625" style="47" customWidth="1"/>
    <col min="2318" max="2325" width="15.88671875" style="47" customWidth="1"/>
    <col min="2326" max="2560" width="9.109375" style="47"/>
    <col min="2561" max="2561" width="26.6640625" style="47" customWidth="1"/>
    <col min="2562" max="2563" width="18.6640625" style="47" customWidth="1"/>
    <col min="2564" max="2564" width="27.6640625" style="47" customWidth="1"/>
    <col min="2565" max="2565" width="15.6640625" style="47" customWidth="1"/>
    <col min="2566" max="2567" width="12.6640625" style="47" customWidth="1"/>
    <col min="2568" max="2568" width="17.6640625" style="47" customWidth="1"/>
    <col min="2569" max="2570" width="15.6640625" style="47" customWidth="1"/>
    <col min="2571" max="2573" width="18.6640625" style="47" customWidth="1"/>
    <col min="2574" max="2581" width="15.88671875" style="47" customWidth="1"/>
    <col min="2582" max="2816" width="9.109375" style="47"/>
    <col min="2817" max="2817" width="26.6640625" style="47" customWidth="1"/>
    <col min="2818" max="2819" width="18.6640625" style="47" customWidth="1"/>
    <col min="2820" max="2820" width="27.6640625" style="47" customWidth="1"/>
    <col min="2821" max="2821" width="15.6640625" style="47" customWidth="1"/>
    <col min="2822" max="2823" width="12.6640625" style="47" customWidth="1"/>
    <col min="2824" max="2824" width="17.6640625" style="47" customWidth="1"/>
    <col min="2825" max="2826" width="15.6640625" style="47" customWidth="1"/>
    <col min="2827" max="2829" width="18.6640625" style="47" customWidth="1"/>
    <col min="2830" max="2837" width="15.88671875" style="47" customWidth="1"/>
    <col min="2838" max="3072" width="9.109375" style="47"/>
    <col min="3073" max="3073" width="26.6640625" style="47" customWidth="1"/>
    <col min="3074" max="3075" width="18.6640625" style="47" customWidth="1"/>
    <col min="3076" max="3076" width="27.6640625" style="47" customWidth="1"/>
    <col min="3077" max="3077" width="15.6640625" style="47" customWidth="1"/>
    <col min="3078" max="3079" width="12.6640625" style="47" customWidth="1"/>
    <col min="3080" max="3080" width="17.6640625" style="47" customWidth="1"/>
    <col min="3081" max="3082" width="15.6640625" style="47" customWidth="1"/>
    <col min="3083" max="3085" width="18.6640625" style="47" customWidth="1"/>
    <col min="3086" max="3093" width="15.88671875" style="47" customWidth="1"/>
    <col min="3094" max="3328" width="9.109375" style="47"/>
    <col min="3329" max="3329" width="26.6640625" style="47" customWidth="1"/>
    <col min="3330" max="3331" width="18.6640625" style="47" customWidth="1"/>
    <col min="3332" max="3332" width="27.6640625" style="47" customWidth="1"/>
    <col min="3333" max="3333" width="15.6640625" style="47" customWidth="1"/>
    <col min="3334" max="3335" width="12.6640625" style="47" customWidth="1"/>
    <col min="3336" max="3336" width="17.6640625" style="47" customWidth="1"/>
    <col min="3337" max="3338" width="15.6640625" style="47" customWidth="1"/>
    <col min="3339" max="3341" width="18.6640625" style="47" customWidth="1"/>
    <col min="3342" max="3349" width="15.88671875" style="47" customWidth="1"/>
    <col min="3350" max="3584" width="9.109375" style="47"/>
    <col min="3585" max="3585" width="26.6640625" style="47" customWidth="1"/>
    <col min="3586" max="3587" width="18.6640625" style="47" customWidth="1"/>
    <col min="3588" max="3588" width="27.6640625" style="47" customWidth="1"/>
    <col min="3589" max="3589" width="15.6640625" style="47" customWidth="1"/>
    <col min="3590" max="3591" width="12.6640625" style="47" customWidth="1"/>
    <col min="3592" max="3592" width="17.6640625" style="47" customWidth="1"/>
    <col min="3593" max="3594" width="15.6640625" style="47" customWidth="1"/>
    <col min="3595" max="3597" width="18.6640625" style="47" customWidth="1"/>
    <col min="3598" max="3605" width="15.88671875" style="47" customWidth="1"/>
    <col min="3606" max="3840" width="9.109375" style="47"/>
    <col min="3841" max="3841" width="26.6640625" style="47" customWidth="1"/>
    <col min="3842" max="3843" width="18.6640625" style="47" customWidth="1"/>
    <col min="3844" max="3844" width="27.6640625" style="47" customWidth="1"/>
    <col min="3845" max="3845" width="15.6640625" style="47" customWidth="1"/>
    <col min="3846" max="3847" width="12.6640625" style="47" customWidth="1"/>
    <col min="3848" max="3848" width="17.6640625" style="47" customWidth="1"/>
    <col min="3849" max="3850" width="15.6640625" style="47" customWidth="1"/>
    <col min="3851" max="3853" width="18.6640625" style="47" customWidth="1"/>
    <col min="3854" max="3861" width="15.88671875" style="47" customWidth="1"/>
    <col min="3862" max="4096" width="9.109375" style="47"/>
    <col min="4097" max="4097" width="26.6640625" style="47" customWidth="1"/>
    <col min="4098" max="4099" width="18.6640625" style="47" customWidth="1"/>
    <col min="4100" max="4100" width="27.6640625" style="47" customWidth="1"/>
    <col min="4101" max="4101" width="15.6640625" style="47" customWidth="1"/>
    <col min="4102" max="4103" width="12.6640625" style="47" customWidth="1"/>
    <col min="4104" max="4104" width="17.6640625" style="47" customWidth="1"/>
    <col min="4105" max="4106" width="15.6640625" style="47" customWidth="1"/>
    <col min="4107" max="4109" width="18.6640625" style="47" customWidth="1"/>
    <col min="4110" max="4117" width="15.88671875" style="47" customWidth="1"/>
    <col min="4118" max="4352" width="9.109375" style="47"/>
    <col min="4353" max="4353" width="26.6640625" style="47" customWidth="1"/>
    <col min="4354" max="4355" width="18.6640625" style="47" customWidth="1"/>
    <col min="4356" max="4356" width="27.6640625" style="47" customWidth="1"/>
    <col min="4357" max="4357" width="15.6640625" style="47" customWidth="1"/>
    <col min="4358" max="4359" width="12.6640625" style="47" customWidth="1"/>
    <col min="4360" max="4360" width="17.6640625" style="47" customWidth="1"/>
    <col min="4361" max="4362" width="15.6640625" style="47" customWidth="1"/>
    <col min="4363" max="4365" width="18.6640625" style="47" customWidth="1"/>
    <col min="4366" max="4373" width="15.88671875" style="47" customWidth="1"/>
    <col min="4374" max="4608" width="9.109375" style="47"/>
    <col min="4609" max="4609" width="26.6640625" style="47" customWidth="1"/>
    <col min="4610" max="4611" width="18.6640625" style="47" customWidth="1"/>
    <col min="4612" max="4612" width="27.6640625" style="47" customWidth="1"/>
    <col min="4613" max="4613" width="15.6640625" style="47" customWidth="1"/>
    <col min="4614" max="4615" width="12.6640625" style="47" customWidth="1"/>
    <col min="4616" max="4616" width="17.6640625" style="47" customWidth="1"/>
    <col min="4617" max="4618" width="15.6640625" style="47" customWidth="1"/>
    <col min="4619" max="4621" width="18.6640625" style="47" customWidth="1"/>
    <col min="4622" max="4629" width="15.88671875" style="47" customWidth="1"/>
    <col min="4630" max="4864" width="9.109375" style="47"/>
    <col min="4865" max="4865" width="26.6640625" style="47" customWidth="1"/>
    <col min="4866" max="4867" width="18.6640625" style="47" customWidth="1"/>
    <col min="4868" max="4868" width="27.6640625" style="47" customWidth="1"/>
    <col min="4869" max="4869" width="15.6640625" style="47" customWidth="1"/>
    <col min="4870" max="4871" width="12.6640625" style="47" customWidth="1"/>
    <col min="4872" max="4872" width="17.6640625" style="47" customWidth="1"/>
    <col min="4873" max="4874" width="15.6640625" style="47" customWidth="1"/>
    <col min="4875" max="4877" width="18.6640625" style="47" customWidth="1"/>
    <col min="4878" max="4885" width="15.88671875" style="47" customWidth="1"/>
    <col min="4886" max="5120" width="9.109375" style="47"/>
    <col min="5121" max="5121" width="26.6640625" style="47" customWidth="1"/>
    <col min="5122" max="5123" width="18.6640625" style="47" customWidth="1"/>
    <col min="5124" max="5124" width="27.6640625" style="47" customWidth="1"/>
    <col min="5125" max="5125" width="15.6640625" style="47" customWidth="1"/>
    <col min="5126" max="5127" width="12.6640625" style="47" customWidth="1"/>
    <col min="5128" max="5128" width="17.6640625" style="47" customWidth="1"/>
    <col min="5129" max="5130" width="15.6640625" style="47" customWidth="1"/>
    <col min="5131" max="5133" width="18.6640625" style="47" customWidth="1"/>
    <col min="5134" max="5141" width="15.88671875" style="47" customWidth="1"/>
    <col min="5142" max="5376" width="9.109375" style="47"/>
    <col min="5377" max="5377" width="26.6640625" style="47" customWidth="1"/>
    <col min="5378" max="5379" width="18.6640625" style="47" customWidth="1"/>
    <col min="5380" max="5380" width="27.6640625" style="47" customWidth="1"/>
    <col min="5381" max="5381" width="15.6640625" style="47" customWidth="1"/>
    <col min="5382" max="5383" width="12.6640625" style="47" customWidth="1"/>
    <col min="5384" max="5384" width="17.6640625" style="47" customWidth="1"/>
    <col min="5385" max="5386" width="15.6640625" style="47" customWidth="1"/>
    <col min="5387" max="5389" width="18.6640625" style="47" customWidth="1"/>
    <col min="5390" max="5397" width="15.88671875" style="47" customWidth="1"/>
    <col min="5398" max="5632" width="9.109375" style="47"/>
    <col min="5633" max="5633" width="26.6640625" style="47" customWidth="1"/>
    <col min="5634" max="5635" width="18.6640625" style="47" customWidth="1"/>
    <col min="5636" max="5636" width="27.6640625" style="47" customWidth="1"/>
    <col min="5637" max="5637" width="15.6640625" style="47" customWidth="1"/>
    <col min="5638" max="5639" width="12.6640625" style="47" customWidth="1"/>
    <col min="5640" max="5640" width="17.6640625" style="47" customWidth="1"/>
    <col min="5641" max="5642" width="15.6640625" style="47" customWidth="1"/>
    <col min="5643" max="5645" width="18.6640625" style="47" customWidth="1"/>
    <col min="5646" max="5653" width="15.88671875" style="47" customWidth="1"/>
    <col min="5654" max="5888" width="9.109375" style="47"/>
    <col min="5889" max="5889" width="26.6640625" style="47" customWidth="1"/>
    <col min="5890" max="5891" width="18.6640625" style="47" customWidth="1"/>
    <col min="5892" max="5892" width="27.6640625" style="47" customWidth="1"/>
    <col min="5893" max="5893" width="15.6640625" style="47" customWidth="1"/>
    <col min="5894" max="5895" width="12.6640625" style="47" customWidth="1"/>
    <col min="5896" max="5896" width="17.6640625" style="47" customWidth="1"/>
    <col min="5897" max="5898" width="15.6640625" style="47" customWidth="1"/>
    <col min="5899" max="5901" width="18.6640625" style="47" customWidth="1"/>
    <col min="5902" max="5909" width="15.88671875" style="47" customWidth="1"/>
    <col min="5910" max="6144" width="9.109375" style="47"/>
    <col min="6145" max="6145" width="26.6640625" style="47" customWidth="1"/>
    <col min="6146" max="6147" width="18.6640625" style="47" customWidth="1"/>
    <col min="6148" max="6148" width="27.6640625" style="47" customWidth="1"/>
    <col min="6149" max="6149" width="15.6640625" style="47" customWidth="1"/>
    <col min="6150" max="6151" width="12.6640625" style="47" customWidth="1"/>
    <col min="6152" max="6152" width="17.6640625" style="47" customWidth="1"/>
    <col min="6153" max="6154" width="15.6640625" style="47" customWidth="1"/>
    <col min="6155" max="6157" width="18.6640625" style="47" customWidth="1"/>
    <col min="6158" max="6165" width="15.88671875" style="47" customWidth="1"/>
    <col min="6166" max="6400" width="9.109375" style="47"/>
    <col min="6401" max="6401" width="26.6640625" style="47" customWidth="1"/>
    <col min="6402" max="6403" width="18.6640625" style="47" customWidth="1"/>
    <col min="6404" max="6404" width="27.6640625" style="47" customWidth="1"/>
    <col min="6405" max="6405" width="15.6640625" style="47" customWidth="1"/>
    <col min="6406" max="6407" width="12.6640625" style="47" customWidth="1"/>
    <col min="6408" max="6408" width="17.6640625" style="47" customWidth="1"/>
    <col min="6409" max="6410" width="15.6640625" style="47" customWidth="1"/>
    <col min="6411" max="6413" width="18.6640625" style="47" customWidth="1"/>
    <col min="6414" max="6421" width="15.88671875" style="47" customWidth="1"/>
    <col min="6422" max="6656" width="9.109375" style="47"/>
    <col min="6657" max="6657" width="26.6640625" style="47" customWidth="1"/>
    <col min="6658" max="6659" width="18.6640625" style="47" customWidth="1"/>
    <col min="6660" max="6660" width="27.6640625" style="47" customWidth="1"/>
    <col min="6661" max="6661" width="15.6640625" style="47" customWidth="1"/>
    <col min="6662" max="6663" width="12.6640625" style="47" customWidth="1"/>
    <col min="6664" max="6664" width="17.6640625" style="47" customWidth="1"/>
    <col min="6665" max="6666" width="15.6640625" style="47" customWidth="1"/>
    <col min="6667" max="6669" width="18.6640625" style="47" customWidth="1"/>
    <col min="6670" max="6677" width="15.88671875" style="47" customWidth="1"/>
    <col min="6678" max="6912" width="9.109375" style="47"/>
    <col min="6913" max="6913" width="26.6640625" style="47" customWidth="1"/>
    <col min="6914" max="6915" width="18.6640625" style="47" customWidth="1"/>
    <col min="6916" max="6916" width="27.6640625" style="47" customWidth="1"/>
    <col min="6917" max="6917" width="15.6640625" style="47" customWidth="1"/>
    <col min="6918" max="6919" width="12.6640625" style="47" customWidth="1"/>
    <col min="6920" max="6920" width="17.6640625" style="47" customWidth="1"/>
    <col min="6921" max="6922" width="15.6640625" style="47" customWidth="1"/>
    <col min="6923" max="6925" width="18.6640625" style="47" customWidth="1"/>
    <col min="6926" max="6933" width="15.88671875" style="47" customWidth="1"/>
    <col min="6934" max="7168" width="9.109375" style="47"/>
    <col min="7169" max="7169" width="26.6640625" style="47" customWidth="1"/>
    <col min="7170" max="7171" width="18.6640625" style="47" customWidth="1"/>
    <col min="7172" max="7172" width="27.6640625" style="47" customWidth="1"/>
    <col min="7173" max="7173" width="15.6640625" style="47" customWidth="1"/>
    <col min="7174" max="7175" width="12.6640625" style="47" customWidth="1"/>
    <col min="7176" max="7176" width="17.6640625" style="47" customWidth="1"/>
    <col min="7177" max="7178" width="15.6640625" style="47" customWidth="1"/>
    <col min="7179" max="7181" width="18.6640625" style="47" customWidth="1"/>
    <col min="7182" max="7189" width="15.88671875" style="47" customWidth="1"/>
    <col min="7190" max="7424" width="9.109375" style="47"/>
    <col min="7425" max="7425" width="26.6640625" style="47" customWidth="1"/>
    <col min="7426" max="7427" width="18.6640625" style="47" customWidth="1"/>
    <col min="7428" max="7428" width="27.6640625" style="47" customWidth="1"/>
    <col min="7429" max="7429" width="15.6640625" style="47" customWidth="1"/>
    <col min="7430" max="7431" width="12.6640625" style="47" customWidth="1"/>
    <col min="7432" max="7432" width="17.6640625" style="47" customWidth="1"/>
    <col min="7433" max="7434" width="15.6640625" style="47" customWidth="1"/>
    <col min="7435" max="7437" width="18.6640625" style="47" customWidth="1"/>
    <col min="7438" max="7445" width="15.88671875" style="47" customWidth="1"/>
    <col min="7446" max="7680" width="9.109375" style="47"/>
    <col min="7681" max="7681" width="26.6640625" style="47" customWidth="1"/>
    <col min="7682" max="7683" width="18.6640625" style="47" customWidth="1"/>
    <col min="7684" max="7684" width="27.6640625" style="47" customWidth="1"/>
    <col min="7685" max="7685" width="15.6640625" style="47" customWidth="1"/>
    <col min="7686" max="7687" width="12.6640625" style="47" customWidth="1"/>
    <col min="7688" max="7688" width="17.6640625" style="47" customWidth="1"/>
    <col min="7689" max="7690" width="15.6640625" style="47" customWidth="1"/>
    <col min="7691" max="7693" width="18.6640625" style="47" customWidth="1"/>
    <col min="7694" max="7701" width="15.88671875" style="47" customWidth="1"/>
    <col min="7702" max="7936" width="9.109375" style="47"/>
    <col min="7937" max="7937" width="26.6640625" style="47" customWidth="1"/>
    <col min="7938" max="7939" width="18.6640625" style="47" customWidth="1"/>
    <col min="7940" max="7940" width="27.6640625" style="47" customWidth="1"/>
    <col min="7941" max="7941" width="15.6640625" style="47" customWidth="1"/>
    <col min="7942" max="7943" width="12.6640625" style="47" customWidth="1"/>
    <col min="7944" max="7944" width="17.6640625" style="47" customWidth="1"/>
    <col min="7945" max="7946" width="15.6640625" style="47" customWidth="1"/>
    <col min="7947" max="7949" width="18.6640625" style="47" customWidth="1"/>
    <col min="7950" max="7957" width="15.88671875" style="47" customWidth="1"/>
    <col min="7958" max="8192" width="9.109375" style="47"/>
    <col min="8193" max="8193" width="26.6640625" style="47" customWidth="1"/>
    <col min="8194" max="8195" width="18.6640625" style="47" customWidth="1"/>
    <col min="8196" max="8196" width="27.6640625" style="47" customWidth="1"/>
    <col min="8197" max="8197" width="15.6640625" style="47" customWidth="1"/>
    <col min="8198" max="8199" width="12.6640625" style="47" customWidth="1"/>
    <col min="8200" max="8200" width="17.6640625" style="47" customWidth="1"/>
    <col min="8201" max="8202" width="15.6640625" style="47" customWidth="1"/>
    <col min="8203" max="8205" width="18.6640625" style="47" customWidth="1"/>
    <col min="8206" max="8213" width="15.88671875" style="47" customWidth="1"/>
    <col min="8214" max="8448" width="9.109375" style="47"/>
    <col min="8449" max="8449" width="26.6640625" style="47" customWidth="1"/>
    <col min="8450" max="8451" width="18.6640625" style="47" customWidth="1"/>
    <col min="8452" max="8452" width="27.6640625" style="47" customWidth="1"/>
    <col min="8453" max="8453" width="15.6640625" style="47" customWidth="1"/>
    <col min="8454" max="8455" width="12.6640625" style="47" customWidth="1"/>
    <col min="8456" max="8456" width="17.6640625" style="47" customWidth="1"/>
    <col min="8457" max="8458" width="15.6640625" style="47" customWidth="1"/>
    <col min="8459" max="8461" width="18.6640625" style="47" customWidth="1"/>
    <col min="8462" max="8469" width="15.88671875" style="47" customWidth="1"/>
    <col min="8470" max="8704" width="9.109375" style="47"/>
    <col min="8705" max="8705" width="26.6640625" style="47" customWidth="1"/>
    <col min="8706" max="8707" width="18.6640625" style="47" customWidth="1"/>
    <col min="8708" max="8708" width="27.6640625" style="47" customWidth="1"/>
    <col min="8709" max="8709" width="15.6640625" style="47" customWidth="1"/>
    <col min="8710" max="8711" width="12.6640625" style="47" customWidth="1"/>
    <col min="8712" max="8712" width="17.6640625" style="47" customWidth="1"/>
    <col min="8713" max="8714" width="15.6640625" style="47" customWidth="1"/>
    <col min="8715" max="8717" width="18.6640625" style="47" customWidth="1"/>
    <col min="8718" max="8725" width="15.88671875" style="47" customWidth="1"/>
    <col min="8726" max="8960" width="9.109375" style="47"/>
    <col min="8961" max="8961" width="26.6640625" style="47" customWidth="1"/>
    <col min="8962" max="8963" width="18.6640625" style="47" customWidth="1"/>
    <col min="8964" max="8964" width="27.6640625" style="47" customWidth="1"/>
    <col min="8965" max="8965" width="15.6640625" style="47" customWidth="1"/>
    <col min="8966" max="8967" width="12.6640625" style="47" customWidth="1"/>
    <col min="8968" max="8968" width="17.6640625" style="47" customWidth="1"/>
    <col min="8969" max="8970" width="15.6640625" style="47" customWidth="1"/>
    <col min="8971" max="8973" width="18.6640625" style="47" customWidth="1"/>
    <col min="8974" max="8981" width="15.88671875" style="47" customWidth="1"/>
    <col min="8982" max="9216" width="9.109375" style="47"/>
    <col min="9217" max="9217" width="26.6640625" style="47" customWidth="1"/>
    <col min="9218" max="9219" width="18.6640625" style="47" customWidth="1"/>
    <col min="9220" max="9220" width="27.6640625" style="47" customWidth="1"/>
    <col min="9221" max="9221" width="15.6640625" style="47" customWidth="1"/>
    <col min="9222" max="9223" width="12.6640625" style="47" customWidth="1"/>
    <col min="9224" max="9224" width="17.6640625" style="47" customWidth="1"/>
    <col min="9225" max="9226" width="15.6640625" style="47" customWidth="1"/>
    <col min="9227" max="9229" width="18.6640625" style="47" customWidth="1"/>
    <col min="9230" max="9237" width="15.88671875" style="47" customWidth="1"/>
    <col min="9238" max="9472" width="9.109375" style="47"/>
    <col min="9473" max="9473" width="26.6640625" style="47" customWidth="1"/>
    <col min="9474" max="9475" width="18.6640625" style="47" customWidth="1"/>
    <col min="9476" max="9476" width="27.6640625" style="47" customWidth="1"/>
    <col min="9477" max="9477" width="15.6640625" style="47" customWidth="1"/>
    <col min="9478" max="9479" width="12.6640625" style="47" customWidth="1"/>
    <col min="9480" max="9480" width="17.6640625" style="47" customWidth="1"/>
    <col min="9481" max="9482" width="15.6640625" style="47" customWidth="1"/>
    <col min="9483" max="9485" width="18.6640625" style="47" customWidth="1"/>
    <col min="9486" max="9493" width="15.88671875" style="47" customWidth="1"/>
    <col min="9494" max="9728" width="9.109375" style="47"/>
    <col min="9729" max="9729" width="26.6640625" style="47" customWidth="1"/>
    <col min="9730" max="9731" width="18.6640625" style="47" customWidth="1"/>
    <col min="9732" max="9732" width="27.6640625" style="47" customWidth="1"/>
    <col min="9733" max="9733" width="15.6640625" style="47" customWidth="1"/>
    <col min="9734" max="9735" width="12.6640625" style="47" customWidth="1"/>
    <col min="9736" max="9736" width="17.6640625" style="47" customWidth="1"/>
    <col min="9737" max="9738" width="15.6640625" style="47" customWidth="1"/>
    <col min="9739" max="9741" width="18.6640625" style="47" customWidth="1"/>
    <col min="9742" max="9749" width="15.88671875" style="47" customWidth="1"/>
    <col min="9750" max="9984" width="9.109375" style="47"/>
    <col min="9985" max="9985" width="26.6640625" style="47" customWidth="1"/>
    <col min="9986" max="9987" width="18.6640625" style="47" customWidth="1"/>
    <col min="9988" max="9988" width="27.6640625" style="47" customWidth="1"/>
    <col min="9989" max="9989" width="15.6640625" style="47" customWidth="1"/>
    <col min="9990" max="9991" width="12.6640625" style="47" customWidth="1"/>
    <col min="9992" max="9992" width="17.6640625" style="47" customWidth="1"/>
    <col min="9993" max="9994" width="15.6640625" style="47" customWidth="1"/>
    <col min="9995" max="9997" width="18.6640625" style="47" customWidth="1"/>
    <col min="9998" max="10005" width="15.88671875" style="47" customWidth="1"/>
    <col min="10006" max="10240" width="9.109375" style="47"/>
    <col min="10241" max="10241" width="26.6640625" style="47" customWidth="1"/>
    <col min="10242" max="10243" width="18.6640625" style="47" customWidth="1"/>
    <col min="10244" max="10244" width="27.6640625" style="47" customWidth="1"/>
    <col min="10245" max="10245" width="15.6640625" style="47" customWidth="1"/>
    <col min="10246" max="10247" width="12.6640625" style="47" customWidth="1"/>
    <col min="10248" max="10248" width="17.6640625" style="47" customWidth="1"/>
    <col min="10249" max="10250" width="15.6640625" style="47" customWidth="1"/>
    <col min="10251" max="10253" width="18.6640625" style="47" customWidth="1"/>
    <col min="10254" max="10261" width="15.88671875" style="47" customWidth="1"/>
    <col min="10262" max="10496" width="9.109375" style="47"/>
    <col min="10497" max="10497" width="26.6640625" style="47" customWidth="1"/>
    <col min="10498" max="10499" width="18.6640625" style="47" customWidth="1"/>
    <col min="10500" max="10500" width="27.6640625" style="47" customWidth="1"/>
    <col min="10501" max="10501" width="15.6640625" style="47" customWidth="1"/>
    <col min="10502" max="10503" width="12.6640625" style="47" customWidth="1"/>
    <col min="10504" max="10504" width="17.6640625" style="47" customWidth="1"/>
    <col min="10505" max="10506" width="15.6640625" style="47" customWidth="1"/>
    <col min="10507" max="10509" width="18.6640625" style="47" customWidth="1"/>
    <col min="10510" max="10517" width="15.88671875" style="47" customWidth="1"/>
    <col min="10518" max="10752" width="9.109375" style="47"/>
    <col min="10753" max="10753" width="26.6640625" style="47" customWidth="1"/>
    <col min="10754" max="10755" width="18.6640625" style="47" customWidth="1"/>
    <col min="10756" max="10756" width="27.6640625" style="47" customWidth="1"/>
    <col min="10757" max="10757" width="15.6640625" style="47" customWidth="1"/>
    <col min="10758" max="10759" width="12.6640625" style="47" customWidth="1"/>
    <col min="10760" max="10760" width="17.6640625" style="47" customWidth="1"/>
    <col min="10761" max="10762" width="15.6640625" style="47" customWidth="1"/>
    <col min="10763" max="10765" width="18.6640625" style="47" customWidth="1"/>
    <col min="10766" max="10773" width="15.88671875" style="47" customWidth="1"/>
    <col min="10774" max="11008" width="9.109375" style="47"/>
    <col min="11009" max="11009" width="26.6640625" style="47" customWidth="1"/>
    <col min="11010" max="11011" width="18.6640625" style="47" customWidth="1"/>
    <col min="11012" max="11012" width="27.6640625" style="47" customWidth="1"/>
    <col min="11013" max="11013" width="15.6640625" style="47" customWidth="1"/>
    <col min="11014" max="11015" width="12.6640625" style="47" customWidth="1"/>
    <col min="11016" max="11016" width="17.6640625" style="47" customWidth="1"/>
    <col min="11017" max="11018" width="15.6640625" style="47" customWidth="1"/>
    <col min="11019" max="11021" width="18.6640625" style="47" customWidth="1"/>
    <col min="11022" max="11029" width="15.88671875" style="47" customWidth="1"/>
    <col min="11030" max="11264" width="9.109375" style="47"/>
    <col min="11265" max="11265" width="26.6640625" style="47" customWidth="1"/>
    <col min="11266" max="11267" width="18.6640625" style="47" customWidth="1"/>
    <col min="11268" max="11268" width="27.6640625" style="47" customWidth="1"/>
    <col min="11269" max="11269" width="15.6640625" style="47" customWidth="1"/>
    <col min="11270" max="11271" width="12.6640625" style="47" customWidth="1"/>
    <col min="11272" max="11272" width="17.6640625" style="47" customWidth="1"/>
    <col min="11273" max="11274" width="15.6640625" style="47" customWidth="1"/>
    <col min="11275" max="11277" width="18.6640625" style="47" customWidth="1"/>
    <col min="11278" max="11285" width="15.88671875" style="47" customWidth="1"/>
    <col min="11286" max="11520" width="9.109375" style="47"/>
    <col min="11521" max="11521" width="26.6640625" style="47" customWidth="1"/>
    <col min="11522" max="11523" width="18.6640625" style="47" customWidth="1"/>
    <col min="11524" max="11524" width="27.6640625" style="47" customWidth="1"/>
    <col min="11525" max="11525" width="15.6640625" style="47" customWidth="1"/>
    <col min="11526" max="11527" width="12.6640625" style="47" customWidth="1"/>
    <col min="11528" max="11528" width="17.6640625" style="47" customWidth="1"/>
    <col min="11529" max="11530" width="15.6640625" style="47" customWidth="1"/>
    <col min="11531" max="11533" width="18.6640625" style="47" customWidth="1"/>
    <col min="11534" max="11541" width="15.88671875" style="47" customWidth="1"/>
    <col min="11542" max="11776" width="9.109375" style="47"/>
    <col min="11777" max="11777" width="26.6640625" style="47" customWidth="1"/>
    <col min="11778" max="11779" width="18.6640625" style="47" customWidth="1"/>
    <col min="11780" max="11780" width="27.6640625" style="47" customWidth="1"/>
    <col min="11781" max="11781" width="15.6640625" style="47" customWidth="1"/>
    <col min="11782" max="11783" width="12.6640625" style="47" customWidth="1"/>
    <col min="11784" max="11784" width="17.6640625" style="47" customWidth="1"/>
    <col min="11785" max="11786" width="15.6640625" style="47" customWidth="1"/>
    <col min="11787" max="11789" width="18.6640625" style="47" customWidth="1"/>
    <col min="11790" max="11797" width="15.88671875" style="47" customWidth="1"/>
    <col min="11798" max="12032" width="9.109375" style="47"/>
    <col min="12033" max="12033" width="26.6640625" style="47" customWidth="1"/>
    <col min="12034" max="12035" width="18.6640625" style="47" customWidth="1"/>
    <col min="12036" max="12036" width="27.6640625" style="47" customWidth="1"/>
    <col min="12037" max="12037" width="15.6640625" style="47" customWidth="1"/>
    <col min="12038" max="12039" width="12.6640625" style="47" customWidth="1"/>
    <col min="12040" max="12040" width="17.6640625" style="47" customWidth="1"/>
    <col min="12041" max="12042" width="15.6640625" style="47" customWidth="1"/>
    <col min="12043" max="12045" width="18.6640625" style="47" customWidth="1"/>
    <col min="12046" max="12053" width="15.88671875" style="47" customWidth="1"/>
    <col min="12054" max="12288" width="9.109375" style="47"/>
    <col min="12289" max="12289" width="26.6640625" style="47" customWidth="1"/>
    <col min="12290" max="12291" width="18.6640625" style="47" customWidth="1"/>
    <col min="12292" max="12292" width="27.6640625" style="47" customWidth="1"/>
    <col min="12293" max="12293" width="15.6640625" style="47" customWidth="1"/>
    <col min="12294" max="12295" width="12.6640625" style="47" customWidth="1"/>
    <col min="12296" max="12296" width="17.6640625" style="47" customWidth="1"/>
    <col min="12297" max="12298" width="15.6640625" style="47" customWidth="1"/>
    <col min="12299" max="12301" width="18.6640625" style="47" customWidth="1"/>
    <col min="12302" max="12309" width="15.88671875" style="47" customWidth="1"/>
    <col min="12310" max="12544" width="9.109375" style="47"/>
    <col min="12545" max="12545" width="26.6640625" style="47" customWidth="1"/>
    <col min="12546" max="12547" width="18.6640625" style="47" customWidth="1"/>
    <col min="12548" max="12548" width="27.6640625" style="47" customWidth="1"/>
    <col min="12549" max="12549" width="15.6640625" style="47" customWidth="1"/>
    <col min="12550" max="12551" width="12.6640625" style="47" customWidth="1"/>
    <col min="12552" max="12552" width="17.6640625" style="47" customWidth="1"/>
    <col min="12553" max="12554" width="15.6640625" style="47" customWidth="1"/>
    <col min="12555" max="12557" width="18.6640625" style="47" customWidth="1"/>
    <col min="12558" max="12565" width="15.88671875" style="47" customWidth="1"/>
    <col min="12566" max="12800" width="9.109375" style="47"/>
    <col min="12801" max="12801" width="26.6640625" style="47" customWidth="1"/>
    <col min="12802" max="12803" width="18.6640625" style="47" customWidth="1"/>
    <col min="12804" max="12804" width="27.6640625" style="47" customWidth="1"/>
    <col min="12805" max="12805" width="15.6640625" style="47" customWidth="1"/>
    <col min="12806" max="12807" width="12.6640625" style="47" customWidth="1"/>
    <col min="12808" max="12808" width="17.6640625" style="47" customWidth="1"/>
    <col min="12809" max="12810" width="15.6640625" style="47" customWidth="1"/>
    <col min="12811" max="12813" width="18.6640625" style="47" customWidth="1"/>
    <col min="12814" max="12821" width="15.88671875" style="47" customWidth="1"/>
    <col min="12822" max="13056" width="9.109375" style="47"/>
    <col min="13057" max="13057" width="26.6640625" style="47" customWidth="1"/>
    <col min="13058" max="13059" width="18.6640625" style="47" customWidth="1"/>
    <col min="13060" max="13060" width="27.6640625" style="47" customWidth="1"/>
    <col min="13061" max="13061" width="15.6640625" style="47" customWidth="1"/>
    <col min="13062" max="13063" width="12.6640625" style="47" customWidth="1"/>
    <col min="13064" max="13064" width="17.6640625" style="47" customWidth="1"/>
    <col min="13065" max="13066" width="15.6640625" style="47" customWidth="1"/>
    <col min="13067" max="13069" width="18.6640625" style="47" customWidth="1"/>
    <col min="13070" max="13077" width="15.88671875" style="47" customWidth="1"/>
    <col min="13078" max="13312" width="9.109375" style="47"/>
    <col min="13313" max="13313" width="26.6640625" style="47" customWidth="1"/>
    <col min="13314" max="13315" width="18.6640625" style="47" customWidth="1"/>
    <col min="13316" max="13316" width="27.6640625" style="47" customWidth="1"/>
    <col min="13317" max="13317" width="15.6640625" style="47" customWidth="1"/>
    <col min="13318" max="13319" width="12.6640625" style="47" customWidth="1"/>
    <col min="13320" max="13320" width="17.6640625" style="47" customWidth="1"/>
    <col min="13321" max="13322" width="15.6640625" style="47" customWidth="1"/>
    <col min="13323" max="13325" width="18.6640625" style="47" customWidth="1"/>
    <col min="13326" max="13333" width="15.88671875" style="47" customWidth="1"/>
    <col min="13334" max="13568" width="9.109375" style="47"/>
    <col min="13569" max="13569" width="26.6640625" style="47" customWidth="1"/>
    <col min="13570" max="13571" width="18.6640625" style="47" customWidth="1"/>
    <col min="13572" max="13572" width="27.6640625" style="47" customWidth="1"/>
    <col min="13573" max="13573" width="15.6640625" style="47" customWidth="1"/>
    <col min="13574" max="13575" width="12.6640625" style="47" customWidth="1"/>
    <col min="13576" max="13576" width="17.6640625" style="47" customWidth="1"/>
    <col min="13577" max="13578" width="15.6640625" style="47" customWidth="1"/>
    <col min="13579" max="13581" width="18.6640625" style="47" customWidth="1"/>
    <col min="13582" max="13589" width="15.88671875" style="47" customWidth="1"/>
    <col min="13590" max="13824" width="9.109375" style="47"/>
    <col min="13825" max="13825" width="26.6640625" style="47" customWidth="1"/>
    <col min="13826" max="13827" width="18.6640625" style="47" customWidth="1"/>
    <col min="13828" max="13828" width="27.6640625" style="47" customWidth="1"/>
    <col min="13829" max="13829" width="15.6640625" style="47" customWidth="1"/>
    <col min="13830" max="13831" width="12.6640625" style="47" customWidth="1"/>
    <col min="13832" max="13832" width="17.6640625" style="47" customWidth="1"/>
    <col min="13833" max="13834" width="15.6640625" style="47" customWidth="1"/>
    <col min="13835" max="13837" width="18.6640625" style="47" customWidth="1"/>
    <col min="13838" max="13845" width="15.88671875" style="47" customWidth="1"/>
    <col min="13846" max="14080" width="9.109375" style="47"/>
    <col min="14081" max="14081" width="26.6640625" style="47" customWidth="1"/>
    <col min="14082" max="14083" width="18.6640625" style="47" customWidth="1"/>
    <col min="14084" max="14084" width="27.6640625" style="47" customWidth="1"/>
    <col min="14085" max="14085" width="15.6640625" style="47" customWidth="1"/>
    <col min="14086" max="14087" width="12.6640625" style="47" customWidth="1"/>
    <col min="14088" max="14088" width="17.6640625" style="47" customWidth="1"/>
    <col min="14089" max="14090" width="15.6640625" style="47" customWidth="1"/>
    <col min="14091" max="14093" width="18.6640625" style="47" customWidth="1"/>
    <col min="14094" max="14101" width="15.88671875" style="47" customWidth="1"/>
    <col min="14102" max="14336" width="9.109375" style="47"/>
    <col min="14337" max="14337" width="26.6640625" style="47" customWidth="1"/>
    <col min="14338" max="14339" width="18.6640625" style="47" customWidth="1"/>
    <col min="14340" max="14340" width="27.6640625" style="47" customWidth="1"/>
    <col min="14341" max="14341" width="15.6640625" style="47" customWidth="1"/>
    <col min="14342" max="14343" width="12.6640625" style="47" customWidth="1"/>
    <col min="14344" max="14344" width="17.6640625" style="47" customWidth="1"/>
    <col min="14345" max="14346" width="15.6640625" style="47" customWidth="1"/>
    <col min="14347" max="14349" width="18.6640625" style="47" customWidth="1"/>
    <col min="14350" max="14357" width="15.88671875" style="47" customWidth="1"/>
    <col min="14358" max="14592" width="9.109375" style="47"/>
    <col min="14593" max="14593" width="26.6640625" style="47" customWidth="1"/>
    <col min="14594" max="14595" width="18.6640625" style="47" customWidth="1"/>
    <col min="14596" max="14596" width="27.6640625" style="47" customWidth="1"/>
    <col min="14597" max="14597" width="15.6640625" style="47" customWidth="1"/>
    <col min="14598" max="14599" width="12.6640625" style="47" customWidth="1"/>
    <col min="14600" max="14600" width="17.6640625" style="47" customWidth="1"/>
    <col min="14601" max="14602" width="15.6640625" style="47" customWidth="1"/>
    <col min="14603" max="14605" width="18.6640625" style="47" customWidth="1"/>
    <col min="14606" max="14613" width="15.88671875" style="47" customWidth="1"/>
    <col min="14614" max="14848" width="9.109375" style="47"/>
    <col min="14849" max="14849" width="26.6640625" style="47" customWidth="1"/>
    <col min="14850" max="14851" width="18.6640625" style="47" customWidth="1"/>
    <col min="14852" max="14852" width="27.6640625" style="47" customWidth="1"/>
    <col min="14853" max="14853" width="15.6640625" style="47" customWidth="1"/>
    <col min="14854" max="14855" width="12.6640625" style="47" customWidth="1"/>
    <col min="14856" max="14856" width="17.6640625" style="47" customWidth="1"/>
    <col min="14857" max="14858" width="15.6640625" style="47" customWidth="1"/>
    <col min="14859" max="14861" width="18.6640625" style="47" customWidth="1"/>
    <col min="14862" max="14869" width="15.88671875" style="47" customWidth="1"/>
    <col min="14870" max="15104" width="9.109375" style="47"/>
    <col min="15105" max="15105" width="26.6640625" style="47" customWidth="1"/>
    <col min="15106" max="15107" width="18.6640625" style="47" customWidth="1"/>
    <col min="15108" max="15108" width="27.6640625" style="47" customWidth="1"/>
    <col min="15109" max="15109" width="15.6640625" style="47" customWidth="1"/>
    <col min="15110" max="15111" width="12.6640625" style="47" customWidth="1"/>
    <col min="15112" max="15112" width="17.6640625" style="47" customWidth="1"/>
    <col min="15113" max="15114" width="15.6640625" style="47" customWidth="1"/>
    <col min="15115" max="15117" width="18.6640625" style="47" customWidth="1"/>
    <col min="15118" max="15125" width="15.88671875" style="47" customWidth="1"/>
    <col min="15126" max="15360" width="9.109375" style="47"/>
    <col min="15361" max="15361" width="26.6640625" style="47" customWidth="1"/>
    <col min="15362" max="15363" width="18.6640625" style="47" customWidth="1"/>
    <col min="15364" max="15364" width="27.6640625" style="47" customWidth="1"/>
    <col min="15365" max="15365" width="15.6640625" style="47" customWidth="1"/>
    <col min="15366" max="15367" width="12.6640625" style="47" customWidth="1"/>
    <col min="15368" max="15368" width="17.6640625" style="47" customWidth="1"/>
    <col min="15369" max="15370" width="15.6640625" style="47" customWidth="1"/>
    <col min="15371" max="15373" width="18.6640625" style="47" customWidth="1"/>
    <col min="15374" max="15381" width="15.88671875" style="47" customWidth="1"/>
    <col min="15382" max="15616" width="9.109375" style="47"/>
    <col min="15617" max="15617" width="26.6640625" style="47" customWidth="1"/>
    <col min="15618" max="15619" width="18.6640625" style="47" customWidth="1"/>
    <col min="15620" max="15620" width="27.6640625" style="47" customWidth="1"/>
    <col min="15621" max="15621" width="15.6640625" style="47" customWidth="1"/>
    <col min="15622" max="15623" width="12.6640625" style="47" customWidth="1"/>
    <col min="15624" max="15624" width="17.6640625" style="47" customWidth="1"/>
    <col min="15625" max="15626" width="15.6640625" style="47" customWidth="1"/>
    <col min="15627" max="15629" width="18.6640625" style="47" customWidth="1"/>
    <col min="15630" max="15637" width="15.88671875" style="47" customWidth="1"/>
    <col min="15638" max="15872" width="9.109375" style="47"/>
    <col min="15873" max="15873" width="26.6640625" style="47" customWidth="1"/>
    <col min="15874" max="15875" width="18.6640625" style="47" customWidth="1"/>
    <col min="15876" max="15876" width="27.6640625" style="47" customWidth="1"/>
    <col min="15877" max="15877" width="15.6640625" style="47" customWidth="1"/>
    <col min="15878" max="15879" width="12.6640625" style="47" customWidth="1"/>
    <col min="15880" max="15880" width="17.6640625" style="47" customWidth="1"/>
    <col min="15881" max="15882" width="15.6640625" style="47" customWidth="1"/>
    <col min="15883" max="15885" width="18.6640625" style="47" customWidth="1"/>
    <col min="15886" max="15893" width="15.88671875" style="47" customWidth="1"/>
    <col min="15894" max="16128" width="9.109375" style="47"/>
    <col min="16129" max="16129" width="26.6640625" style="47" customWidth="1"/>
    <col min="16130" max="16131" width="18.6640625" style="47" customWidth="1"/>
    <col min="16132" max="16132" width="27.6640625" style="47" customWidth="1"/>
    <col min="16133" max="16133" width="15.6640625" style="47" customWidth="1"/>
    <col min="16134" max="16135" width="12.6640625" style="47" customWidth="1"/>
    <col min="16136" max="16136" width="17.6640625" style="47" customWidth="1"/>
    <col min="16137" max="16138" width="15.6640625" style="47" customWidth="1"/>
    <col min="16139" max="16141" width="18.6640625" style="47" customWidth="1"/>
    <col min="16142" max="16149" width="15.88671875" style="47" customWidth="1"/>
    <col min="16150" max="16384" width="9.109375" style="47"/>
  </cols>
  <sheetData>
    <row r="1" spans="1:21" ht="17.399999999999999" x14ac:dyDescent="0.25">
      <c r="A1" s="443" t="s">
        <v>60</v>
      </c>
      <c r="B1" s="444"/>
      <c r="C1" s="444"/>
      <c r="D1" s="444"/>
      <c r="E1" s="444"/>
      <c r="F1" s="444"/>
      <c r="G1" s="444"/>
      <c r="H1" s="444"/>
      <c r="I1" s="444"/>
      <c r="J1" s="445"/>
      <c r="K1" s="443" t="s">
        <v>60</v>
      </c>
      <c r="L1" s="444"/>
      <c r="M1" s="444"/>
      <c r="N1" s="444"/>
      <c r="O1" s="444"/>
      <c r="P1" s="444"/>
      <c r="Q1" s="444"/>
      <c r="R1" s="444"/>
      <c r="S1" s="444"/>
      <c r="T1" s="444"/>
      <c r="U1" s="445"/>
    </row>
    <row r="2" spans="1:21" ht="17.399999999999999" x14ac:dyDescent="0.25">
      <c r="A2" s="446" t="s">
        <v>190</v>
      </c>
      <c r="B2" s="447"/>
      <c r="C2" s="447"/>
      <c r="D2" s="447"/>
      <c r="E2" s="447"/>
      <c r="F2" s="447"/>
      <c r="G2" s="447"/>
      <c r="H2" s="447"/>
      <c r="I2" s="447"/>
      <c r="J2" s="448"/>
      <c r="K2" s="446" t="s">
        <v>191</v>
      </c>
      <c r="L2" s="447"/>
      <c r="M2" s="447"/>
      <c r="N2" s="447"/>
      <c r="O2" s="447"/>
      <c r="P2" s="447"/>
      <c r="Q2" s="447"/>
      <c r="R2" s="447"/>
      <c r="S2" s="447"/>
      <c r="T2" s="447"/>
      <c r="U2" s="448"/>
    </row>
    <row r="3" spans="1:21" x14ac:dyDescent="0.25">
      <c r="A3" s="48"/>
      <c r="B3" s="49"/>
      <c r="C3"/>
      <c r="D3" s="449" t="s">
        <v>209</v>
      </c>
      <c r="E3" s="449"/>
      <c r="F3" s="449"/>
      <c r="G3"/>
      <c r="H3" s="49"/>
      <c r="I3" s="49"/>
      <c r="J3" s="50"/>
      <c r="K3" s="48"/>
      <c r="L3" s="49"/>
      <c r="M3"/>
      <c r="N3" s="449" t="s">
        <v>209</v>
      </c>
      <c r="O3" s="449"/>
      <c r="P3" s="449"/>
      <c r="Q3" s="449"/>
      <c r="R3"/>
      <c r="S3"/>
      <c r="T3" s="49"/>
      <c r="U3" s="50"/>
    </row>
    <row r="4" spans="1:21" x14ac:dyDescent="0.25">
      <c r="A4" s="51"/>
      <c r="B4" s="52"/>
      <c r="C4" s="52"/>
      <c r="D4" s="52"/>
      <c r="E4" s="52"/>
      <c r="F4" s="450" t="s">
        <v>70</v>
      </c>
      <c r="G4" s="450"/>
      <c r="H4" s="450"/>
      <c r="I4" s="450"/>
      <c r="J4" s="451"/>
      <c r="K4" s="53"/>
      <c r="L4" s="54"/>
      <c r="M4" s="54"/>
      <c r="N4" s="54"/>
      <c r="O4" s="54"/>
      <c r="P4" s="54"/>
      <c r="Q4" s="54"/>
      <c r="R4" s="54"/>
      <c r="S4" s="54"/>
      <c r="T4" s="54"/>
      <c r="U4" s="55"/>
    </row>
    <row r="5" spans="1:21" ht="15" customHeight="1" x14ac:dyDescent="0.25">
      <c r="A5" s="56" t="s">
        <v>71</v>
      </c>
      <c r="B5" s="452" t="s">
        <v>72</v>
      </c>
      <c r="C5" s="453"/>
      <c r="D5" s="57" t="s">
        <v>73</v>
      </c>
      <c r="E5" s="58"/>
      <c r="F5" s="57" t="s">
        <v>74</v>
      </c>
      <c r="G5" s="59"/>
      <c r="H5" s="171" t="s">
        <v>75</v>
      </c>
      <c r="I5" s="60" t="s">
        <v>70</v>
      </c>
      <c r="J5" s="60"/>
      <c r="K5" s="56" t="s">
        <v>71</v>
      </c>
      <c r="L5" s="454" t="s">
        <v>72</v>
      </c>
      <c r="M5" s="455"/>
      <c r="N5" s="57" t="s">
        <v>76</v>
      </c>
      <c r="O5" s="59"/>
      <c r="P5" s="456" t="s">
        <v>210</v>
      </c>
      <c r="Q5" s="457"/>
      <c r="R5" s="457"/>
      <c r="S5" s="457"/>
      <c r="T5" s="457"/>
      <c r="U5" s="458"/>
    </row>
    <row r="6" spans="1:21" x14ac:dyDescent="0.25">
      <c r="A6" s="61" t="s">
        <v>77</v>
      </c>
      <c r="B6" s="465" t="s">
        <v>186</v>
      </c>
      <c r="C6" s="466"/>
      <c r="D6" s="62" t="s">
        <v>79</v>
      </c>
      <c r="E6" s="63">
        <v>0.96582000000000001</v>
      </c>
      <c r="F6" s="64" t="s">
        <v>194</v>
      </c>
      <c r="G6" s="65"/>
      <c r="H6" s="66">
        <v>75.344558503287573</v>
      </c>
      <c r="I6" s="67" t="s">
        <v>70</v>
      </c>
      <c r="J6" s="68"/>
      <c r="K6" s="61" t="s">
        <v>77</v>
      </c>
      <c r="L6" s="467" t="s">
        <v>186</v>
      </c>
      <c r="M6" s="468"/>
      <c r="N6" s="69">
        <v>199635</v>
      </c>
      <c r="O6" s="70"/>
      <c r="P6" s="459"/>
      <c r="Q6" s="460"/>
      <c r="R6" s="460"/>
      <c r="S6" s="460"/>
      <c r="T6" s="460"/>
      <c r="U6" s="461"/>
    </row>
    <row r="7" spans="1:21" x14ac:dyDescent="0.25">
      <c r="A7" s="61" t="s">
        <v>80</v>
      </c>
      <c r="B7" s="469" t="s">
        <v>187</v>
      </c>
      <c r="C7" s="468"/>
      <c r="D7" s="71" t="s">
        <v>82</v>
      </c>
      <c r="E7" s="72">
        <v>3305.1489999999999</v>
      </c>
      <c r="F7" s="64" t="s">
        <v>195</v>
      </c>
      <c r="G7" s="65"/>
      <c r="H7" s="73">
        <v>61.850445726183608</v>
      </c>
      <c r="I7" s="74" t="s">
        <v>70</v>
      </c>
      <c r="J7" s="75"/>
      <c r="K7" s="76" t="s">
        <v>80</v>
      </c>
      <c r="L7" s="470" t="s">
        <v>187</v>
      </c>
      <c r="M7" s="471"/>
      <c r="N7" s="57"/>
      <c r="O7" s="59"/>
      <c r="P7" s="462"/>
      <c r="Q7" s="463"/>
      <c r="R7" s="463"/>
      <c r="S7" s="463"/>
      <c r="T7" s="463"/>
      <c r="U7" s="464"/>
    </row>
    <row r="8" spans="1:21" ht="15.6" x14ac:dyDescent="0.3">
      <c r="A8" s="61" t="s">
        <v>83</v>
      </c>
      <c r="B8" s="478" t="s">
        <v>196</v>
      </c>
      <c r="C8" s="479"/>
      <c r="D8" s="71" t="s">
        <v>84</v>
      </c>
      <c r="E8" s="72">
        <v>6478.0920399999995</v>
      </c>
      <c r="F8" s="64"/>
      <c r="G8" s="65"/>
      <c r="H8" s="60" t="s">
        <v>85</v>
      </c>
      <c r="I8" s="77" t="s">
        <v>70</v>
      </c>
      <c r="J8" s="60" t="s">
        <v>86</v>
      </c>
      <c r="K8" s="78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15.6" x14ac:dyDescent="0.25">
      <c r="A9" s="61" t="s">
        <v>87</v>
      </c>
      <c r="B9" s="478" t="s">
        <v>88</v>
      </c>
      <c r="C9" s="479"/>
      <c r="D9" s="71" t="s">
        <v>89</v>
      </c>
      <c r="E9" s="81">
        <v>125148</v>
      </c>
      <c r="F9" s="64" t="s">
        <v>90</v>
      </c>
      <c r="G9" s="65"/>
      <c r="H9" s="73">
        <v>59.92</v>
      </c>
      <c r="I9" s="82">
        <v>37644</v>
      </c>
      <c r="J9" s="83">
        <v>108097</v>
      </c>
      <c r="K9" s="480" t="s">
        <v>91</v>
      </c>
      <c r="L9" s="481"/>
      <c r="M9" s="481"/>
      <c r="N9" s="481"/>
      <c r="O9" s="481"/>
      <c r="P9" s="481"/>
      <c r="Q9" s="481"/>
      <c r="R9" s="481"/>
      <c r="S9" s="481"/>
      <c r="T9" s="481"/>
      <c r="U9" s="482"/>
    </row>
    <row r="10" spans="1:21" x14ac:dyDescent="0.25">
      <c r="A10" s="61" t="s">
        <v>92</v>
      </c>
      <c r="B10" s="469" t="s">
        <v>93</v>
      </c>
      <c r="C10" s="468"/>
      <c r="D10" s="71" t="s">
        <v>94</v>
      </c>
      <c r="E10" s="72">
        <v>74487</v>
      </c>
      <c r="F10" s="84" t="s">
        <v>95</v>
      </c>
      <c r="G10" s="85"/>
      <c r="H10" s="86">
        <v>65</v>
      </c>
      <c r="I10" s="87">
        <v>41645</v>
      </c>
      <c r="J10" s="88">
        <v>104342</v>
      </c>
      <c r="K10" s="89"/>
      <c r="L10" s="90" t="s">
        <v>96</v>
      </c>
      <c r="M10" s="91"/>
      <c r="N10" s="90" t="s">
        <v>97</v>
      </c>
      <c r="O10" s="91"/>
      <c r="P10" s="90" t="s">
        <v>98</v>
      </c>
      <c r="Q10" s="91"/>
      <c r="R10" s="90" t="s">
        <v>99</v>
      </c>
      <c r="S10" s="91"/>
      <c r="T10" s="90" t="s">
        <v>100</v>
      </c>
      <c r="U10" s="92"/>
    </row>
    <row r="11" spans="1:21" ht="15" customHeight="1" x14ac:dyDescent="0.25">
      <c r="A11" s="483" t="s">
        <v>211</v>
      </c>
      <c r="B11" s="484"/>
      <c r="C11" s="485"/>
      <c r="D11" s="93" t="s">
        <v>101</v>
      </c>
      <c r="E11" s="94">
        <v>199635</v>
      </c>
      <c r="F11" s="57" t="s">
        <v>102</v>
      </c>
      <c r="G11" s="59"/>
      <c r="H11" s="171" t="s">
        <v>103</v>
      </c>
      <c r="I11" s="60" t="s">
        <v>104</v>
      </c>
      <c r="J11" s="60" t="s">
        <v>105</v>
      </c>
      <c r="K11" s="95" t="s">
        <v>106</v>
      </c>
      <c r="L11" s="171" t="s">
        <v>107</v>
      </c>
      <c r="M11" s="171" t="s">
        <v>48</v>
      </c>
      <c r="N11" s="171" t="s">
        <v>107</v>
      </c>
      <c r="O11" s="171" t="s">
        <v>48</v>
      </c>
      <c r="P11" s="171" t="s">
        <v>107</v>
      </c>
      <c r="Q11" s="171" t="s">
        <v>48</v>
      </c>
      <c r="R11" s="171" t="s">
        <v>107</v>
      </c>
      <c r="S11" s="171" t="s">
        <v>48</v>
      </c>
      <c r="T11" s="171" t="s">
        <v>107</v>
      </c>
      <c r="U11" s="171" t="s">
        <v>48</v>
      </c>
    </row>
    <row r="12" spans="1:21" x14ac:dyDescent="0.25">
      <c r="A12" s="486"/>
      <c r="B12" s="487"/>
      <c r="C12" s="488"/>
      <c r="D12" s="58" t="s">
        <v>108</v>
      </c>
      <c r="E12" s="96"/>
      <c r="F12" s="56" t="s">
        <v>109</v>
      </c>
      <c r="G12" s="56"/>
      <c r="H12" s="97">
        <v>7484236.9679681994</v>
      </c>
      <c r="I12" s="97">
        <v>139536.49112859945</v>
      </c>
      <c r="J12" s="97">
        <v>7623773.4590967987</v>
      </c>
      <c r="K12" s="61" t="s">
        <v>62</v>
      </c>
      <c r="L12" s="98">
        <v>1007.0000000000007</v>
      </c>
      <c r="M12" s="99">
        <v>1542579.2016096115</v>
      </c>
      <c r="N12" s="98">
        <v>1107.7000000000003</v>
      </c>
      <c r="O12" s="99">
        <v>1672684.2214977113</v>
      </c>
      <c r="P12" s="98">
        <v>1208.3999999999999</v>
      </c>
      <c r="Q12" s="99">
        <v>1802789.2413858108</v>
      </c>
      <c r="R12" s="98">
        <v>906.30000000000007</v>
      </c>
      <c r="S12" s="99">
        <v>1412474.1817215113</v>
      </c>
      <c r="T12" s="98">
        <v>805.59999999999945</v>
      </c>
      <c r="U12" s="99">
        <v>1282369.1618334118</v>
      </c>
    </row>
    <row r="13" spans="1:21" x14ac:dyDescent="0.25">
      <c r="A13" s="486"/>
      <c r="B13" s="487"/>
      <c r="C13" s="488"/>
      <c r="D13" s="100" t="s">
        <v>110</v>
      </c>
      <c r="E13" s="99">
        <f>+E31</f>
        <v>199277</v>
      </c>
      <c r="F13" s="65" t="s">
        <v>111</v>
      </c>
      <c r="G13" s="61"/>
      <c r="H13" s="101">
        <v>5666392.3790835124</v>
      </c>
      <c r="I13" s="101">
        <v>66362.495184343454</v>
      </c>
      <c r="J13" s="101">
        <v>5732754.8742678557</v>
      </c>
      <c r="K13" s="61" t="s">
        <v>63</v>
      </c>
      <c r="L13" s="81">
        <v>795.00000000000011</v>
      </c>
      <c r="M13" s="72">
        <v>1208919.5583228413</v>
      </c>
      <c r="N13" s="81">
        <v>874.50000000000023</v>
      </c>
      <c r="O13" s="72">
        <v>1311994.2148862914</v>
      </c>
      <c r="P13" s="81">
        <v>954.00000000000011</v>
      </c>
      <c r="Q13" s="72">
        <v>1415068.8714497406</v>
      </c>
      <c r="R13" s="81">
        <v>715.5</v>
      </c>
      <c r="S13" s="72">
        <v>1105844.9017593917</v>
      </c>
      <c r="T13" s="81">
        <v>636</v>
      </c>
      <c r="U13" s="72">
        <v>1002770.2451959421</v>
      </c>
    </row>
    <row r="14" spans="1:21" ht="15" customHeight="1" x14ac:dyDescent="0.25">
      <c r="A14" s="486"/>
      <c r="B14" s="487"/>
      <c r="C14" s="488"/>
      <c r="D14" s="102" t="s">
        <v>112</v>
      </c>
      <c r="E14" s="72">
        <f>+E13-E11</f>
        <v>-358</v>
      </c>
      <c r="F14" s="492" t="s">
        <v>212</v>
      </c>
      <c r="G14" s="484"/>
      <c r="H14" s="484"/>
      <c r="I14" s="484"/>
      <c r="J14" s="485"/>
      <c r="K14" s="61" t="s">
        <v>64</v>
      </c>
      <c r="L14" s="81">
        <v>591.99999999999977</v>
      </c>
      <c r="M14" s="72">
        <v>871739.50842387823</v>
      </c>
      <c r="N14" s="81">
        <v>651.20000000000005</v>
      </c>
      <c r="O14" s="72">
        <v>948714.27344576479</v>
      </c>
      <c r="P14" s="81">
        <v>710.39999999999986</v>
      </c>
      <c r="Q14" s="72">
        <v>1025689.038467652</v>
      </c>
      <c r="R14" s="81">
        <v>532.80000000000018</v>
      </c>
      <c r="S14" s="72">
        <v>794764.74340199039</v>
      </c>
      <c r="T14" s="81">
        <v>473.60000000000019</v>
      </c>
      <c r="U14" s="72">
        <v>717789.97838010348</v>
      </c>
    </row>
    <row r="15" spans="1:21" x14ac:dyDescent="0.25">
      <c r="A15" s="486"/>
      <c r="B15" s="487"/>
      <c r="C15" s="488"/>
      <c r="D15" s="102" t="s">
        <v>113</v>
      </c>
      <c r="E15" s="103">
        <f>+E14/E11</f>
        <v>-1.7932727227189622E-3</v>
      </c>
      <c r="F15" s="486"/>
      <c r="G15" s="487"/>
      <c r="H15" s="487"/>
      <c r="I15" s="487"/>
      <c r="J15" s="488"/>
      <c r="K15" s="61" t="s">
        <v>34</v>
      </c>
      <c r="L15" s="81">
        <v>288.99999999999989</v>
      </c>
      <c r="M15" s="72">
        <v>463937.83444954344</v>
      </c>
      <c r="N15" s="81">
        <v>317.89999999999992</v>
      </c>
      <c r="O15" s="72">
        <v>505556.17906920961</v>
      </c>
      <c r="P15" s="81">
        <v>346.80000000000007</v>
      </c>
      <c r="Q15" s="72">
        <v>547174.52368887572</v>
      </c>
      <c r="R15" s="81">
        <v>260.10000000000002</v>
      </c>
      <c r="S15" s="72">
        <v>422319.48982987757</v>
      </c>
      <c r="T15" s="81">
        <v>231.19999999999987</v>
      </c>
      <c r="U15" s="72">
        <v>380701.14521021151</v>
      </c>
    </row>
    <row r="16" spans="1:21" x14ac:dyDescent="0.25">
      <c r="A16" s="489"/>
      <c r="B16" s="490"/>
      <c r="C16" s="491"/>
      <c r="D16" s="104"/>
      <c r="E16" s="105"/>
      <c r="F16" s="489"/>
      <c r="G16" s="490"/>
      <c r="H16" s="490"/>
      <c r="I16" s="490"/>
      <c r="J16" s="491"/>
      <c r="K16" s="61" t="s">
        <v>35</v>
      </c>
      <c r="L16" s="81">
        <v>86</v>
      </c>
      <c r="M16" s="72">
        <v>240001.90302927289</v>
      </c>
      <c r="N16" s="81">
        <v>94.599999999999966</v>
      </c>
      <c r="O16" s="72">
        <v>252573.83830923031</v>
      </c>
      <c r="P16" s="81">
        <v>103.20000000000003</v>
      </c>
      <c r="Q16" s="72">
        <v>265145.77358918765</v>
      </c>
      <c r="R16" s="81">
        <v>77.400000000000048</v>
      </c>
      <c r="S16" s="72">
        <v>227429.96774931561</v>
      </c>
      <c r="T16" s="81">
        <v>68.799999999999983</v>
      </c>
      <c r="U16" s="72">
        <v>214858.03246935827</v>
      </c>
    </row>
    <row r="17" spans="1:21" x14ac:dyDescent="0.25">
      <c r="A17" s="2"/>
      <c r="B17" s="3"/>
      <c r="C17" s="3"/>
      <c r="D17" s="3"/>
      <c r="E17" s="106"/>
      <c r="F17" s="107"/>
      <c r="G17" s="3"/>
      <c r="H17" s="3"/>
      <c r="I17" s="3"/>
      <c r="J17" s="4"/>
      <c r="K17" s="61" t="s">
        <v>36</v>
      </c>
      <c r="L17" s="81">
        <v>6.0000000000000027</v>
      </c>
      <c r="M17" s="72">
        <v>175012.77745351204</v>
      </c>
      <c r="N17" s="81">
        <v>6.6000000000000192</v>
      </c>
      <c r="O17" s="72">
        <v>175932.86853268347</v>
      </c>
      <c r="P17" s="81">
        <v>7.2000000000000126</v>
      </c>
      <c r="Q17" s="72">
        <v>176852.95961185501</v>
      </c>
      <c r="R17" s="81">
        <v>5.4000000000000092</v>
      </c>
      <c r="S17" s="72">
        <v>174092.68637434044</v>
      </c>
      <c r="T17" s="81">
        <v>4.8000000000000096</v>
      </c>
      <c r="U17" s="72">
        <v>173172.59529516898</v>
      </c>
    </row>
    <row r="18" spans="1:21" ht="15.6" x14ac:dyDescent="0.3">
      <c r="A18" s="493" t="s">
        <v>114</v>
      </c>
      <c r="B18" s="494"/>
      <c r="C18" s="494"/>
      <c r="D18" s="494"/>
      <c r="E18" s="494"/>
      <c r="F18" s="494"/>
      <c r="G18" s="494"/>
      <c r="H18" s="494"/>
      <c r="I18" s="494"/>
      <c r="J18" s="495"/>
      <c r="K18" s="61" t="s">
        <v>37</v>
      </c>
      <c r="L18" s="81">
        <v>0</v>
      </c>
      <c r="M18" s="72">
        <v>163499.81432878287</v>
      </c>
      <c r="N18" s="81">
        <v>0</v>
      </c>
      <c r="O18" s="72">
        <v>163506.24808267457</v>
      </c>
      <c r="P18" s="81">
        <v>0</v>
      </c>
      <c r="Q18" s="72">
        <v>163512.68183656642</v>
      </c>
      <c r="R18" s="81">
        <v>0</v>
      </c>
      <c r="S18" s="72">
        <v>163493.38057489111</v>
      </c>
      <c r="T18" s="81">
        <v>0</v>
      </c>
      <c r="U18" s="72">
        <v>163486.9468209992</v>
      </c>
    </row>
    <row r="19" spans="1:21" x14ac:dyDescent="0.25">
      <c r="A19" s="60" t="s">
        <v>67</v>
      </c>
      <c r="B19" s="472" t="s">
        <v>115</v>
      </c>
      <c r="C19" s="473"/>
      <c r="D19" s="474"/>
      <c r="E19" s="60" t="s">
        <v>116</v>
      </c>
      <c r="F19" s="472" t="s">
        <v>117</v>
      </c>
      <c r="G19" s="475"/>
      <c r="H19" s="476"/>
      <c r="I19" s="476"/>
      <c r="J19" s="477"/>
      <c r="K19" s="61" t="s">
        <v>38</v>
      </c>
      <c r="L19" s="81">
        <v>0.99999999999999922</v>
      </c>
      <c r="M19" s="72">
        <v>179668.23564862215</v>
      </c>
      <c r="N19" s="81">
        <v>1.1000000000000001</v>
      </c>
      <c r="O19" s="72">
        <v>179808.41048214716</v>
      </c>
      <c r="P19" s="81">
        <v>1.1999999999999988</v>
      </c>
      <c r="Q19" s="72">
        <v>179948.5853156723</v>
      </c>
      <c r="R19" s="81">
        <v>0.8999999999999998</v>
      </c>
      <c r="S19" s="72">
        <v>179528.06081509689</v>
      </c>
      <c r="T19" s="81">
        <v>0.79999999999999949</v>
      </c>
      <c r="U19" s="72">
        <v>179387.88598157183</v>
      </c>
    </row>
    <row r="20" spans="1:21" x14ac:dyDescent="0.25">
      <c r="A20" s="108" t="s">
        <v>119</v>
      </c>
      <c r="B20" s="109" t="s">
        <v>168</v>
      </c>
      <c r="C20" s="110"/>
      <c r="D20" s="111"/>
      <c r="E20" s="72">
        <v>16500</v>
      </c>
      <c r="F20" s="112" t="s">
        <v>166</v>
      </c>
      <c r="G20" s="112"/>
      <c r="H20" s="112"/>
      <c r="I20" s="112"/>
      <c r="J20" s="113"/>
      <c r="K20" s="61" t="s">
        <v>39</v>
      </c>
      <c r="L20" s="81">
        <v>46</v>
      </c>
      <c r="M20" s="72">
        <v>229052.33160115223</v>
      </c>
      <c r="N20" s="81">
        <v>50.599999999999994</v>
      </c>
      <c r="O20" s="72">
        <v>235328.98286322766</v>
      </c>
      <c r="P20" s="81">
        <v>55.199999999999989</v>
      </c>
      <c r="Q20" s="72">
        <v>241605.63412530322</v>
      </c>
      <c r="R20" s="81">
        <v>41.400000000000006</v>
      </c>
      <c r="S20" s="72">
        <v>222775.68033907673</v>
      </c>
      <c r="T20" s="81">
        <v>36.799999999999997</v>
      </c>
      <c r="U20" s="72">
        <v>216499.02907700127</v>
      </c>
    </row>
    <row r="21" spans="1:21" x14ac:dyDescent="0.25">
      <c r="A21" s="114" t="s">
        <v>119</v>
      </c>
      <c r="B21" s="115" t="s">
        <v>169</v>
      </c>
      <c r="C21" s="116"/>
      <c r="D21" s="117"/>
      <c r="E21" s="72">
        <v>82000</v>
      </c>
      <c r="F21" s="112" t="s">
        <v>170</v>
      </c>
      <c r="G21" s="112"/>
      <c r="H21" s="112"/>
      <c r="I21" s="112"/>
      <c r="J21" s="113"/>
      <c r="K21" s="61" t="s">
        <v>40</v>
      </c>
      <c r="L21" s="81">
        <v>256</v>
      </c>
      <c r="M21" s="72">
        <v>366671.69237380172</v>
      </c>
      <c r="N21" s="81">
        <v>281.60000000000002</v>
      </c>
      <c r="O21" s="72">
        <v>402582.57016447675</v>
      </c>
      <c r="P21" s="81">
        <v>307.20000000000005</v>
      </c>
      <c r="Q21" s="72">
        <v>438493.44795515196</v>
      </c>
      <c r="R21" s="81">
        <v>230.39999999999998</v>
      </c>
      <c r="S21" s="72">
        <v>330760.81458312651</v>
      </c>
      <c r="T21" s="81">
        <v>204.8</v>
      </c>
      <c r="U21" s="72">
        <v>294849.93679245142</v>
      </c>
    </row>
    <row r="22" spans="1:21" x14ac:dyDescent="0.25">
      <c r="A22" s="114" t="s">
        <v>131</v>
      </c>
      <c r="B22" s="115" t="s">
        <v>132</v>
      </c>
      <c r="C22" s="116"/>
      <c r="D22" s="117"/>
      <c r="E22" s="176">
        <v>78749</v>
      </c>
      <c r="F22" s="112" t="s">
        <v>133</v>
      </c>
      <c r="G22" s="112"/>
      <c r="H22" s="112"/>
      <c r="I22" s="112"/>
      <c r="J22" s="113"/>
      <c r="K22" s="61" t="s">
        <v>65</v>
      </c>
      <c r="L22" s="81">
        <v>558</v>
      </c>
      <c r="M22" s="72">
        <v>743100.79854552378</v>
      </c>
      <c r="N22" s="81">
        <v>613.80000000000007</v>
      </c>
      <c r="O22" s="72">
        <v>814714.67867405456</v>
      </c>
      <c r="P22" s="81">
        <v>669.60000000000014</v>
      </c>
      <c r="Q22" s="72">
        <v>886328.558802585</v>
      </c>
      <c r="R22" s="81">
        <v>502.20000000000005</v>
      </c>
      <c r="S22" s="72">
        <v>671486.91841699334</v>
      </c>
      <c r="T22" s="81">
        <v>446.40000000000015</v>
      </c>
      <c r="U22" s="72">
        <v>599873.03828846279</v>
      </c>
    </row>
    <row r="23" spans="1:21" x14ac:dyDescent="0.25">
      <c r="A23" s="114"/>
      <c r="B23" s="115"/>
      <c r="C23" s="116"/>
      <c r="D23" s="117"/>
      <c r="E23" s="72"/>
      <c r="F23" s="112" t="s">
        <v>134</v>
      </c>
      <c r="G23" s="112"/>
      <c r="H23" s="112"/>
      <c r="I23" s="112"/>
      <c r="J23" s="113"/>
      <c r="K23" s="61" t="s">
        <v>66</v>
      </c>
      <c r="L23" s="81">
        <v>911.00000000000068</v>
      </c>
      <c r="M23" s="72">
        <v>1300053.3121816576</v>
      </c>
      <c r="N23" s="81">
        <v>1002.1000000000003</v>
      </c>
      <c r="O23" s="72">
        <v>1417383.7421858741</v>
      </c>
      <c r="P23" s="81">
        <v>1093.1999999999998</v>
      </c>
      <c r="Q23" s="72">
        <v>1534714.1721900906</v>
      </c>
      <c r="R23" s="81">
        <v>819.89999999999941</v>
      </c>
      <c r="S23" s="72">
        <v>1182722.8821774404</v>
      </c>
      <c r="T23" s="81">
        <v>728.79999999999984</v>
      </c>
      <c r="U23" s="72">
        <v>1065392.4521732242</v>
      </c>
    </row>
    <row r="24" spans="1:21" x14ac:dyDescent="0.25">
      <c r="A24" s="114"/>
      <c r="B24" s="115"/>
      <c r="C24" s="116"/>
      <c r="D24" s="117"/>
      <c r="E24" s="72"/>
      <c r="F24" s="112" t="s">
        <v>135</v>
      </c>
      <c r="G24" s="112"/>
      <c r="H24" s="112"/>
      <c r="I24" s="112"/>
      <c r="J24" s="113"/>
      <c r="K24" s="118" t="s">
        <v>121</v>
      </c>
      <c r="L24" s="119">
        <v>4547.0000000000018</v>
      </c>
      <c r="M24" s="119">
        <v>7484236.9679681994</v>
      </c>
      <c r="N24" s="119">
        <v>5001.7000000000007</v>
      </c>
      <c r="O24" s="119">
        <v>8080780.2281933445</v>
      </c>
      <c r="P24" s="119">
        <v>5456.4</v>
      </c>
      <c r="Q24" s="119">
        <v>8677323.4884184934</v>
      </c>
      <c r="R24" s="119">
        <v>4092.3</v>
      </c>
      <c r="S24" s="119">
        <v>6887693.7077430524</v>
      </c>
      <c r="T24" s="119">
        <v>3637.6000000000004</v>
      </c>
      <c r="U24" s="119">
        <v>6291150.4475179072</v>
      </c>
    </row>
    <row r="25" spans="1:21" x14ac:dyDescent="0.25">
      <c r="A25" s="114" t="s">
        <v>119</v>
      </c>
      <c r="B25" s="115" t="s">
        <v>171</v>
      </c>
      <c r="C25" s="116"/>
      <c r="D25" s="117"/>
      <c r="E25" s="72">
        <v>10000</v>
      </c>
      <c r="F25" s="112" t="s">
        <v>166</v>
      </c>
      <c r="G25" s="112"/>
      <c r="H25" s="112"/>
      <c r="I25" s="112"/>
      <c r="J25" s="113"/>
      <c r="K25" s="118" t="s">
        <v>122</v>
      </c>
      <c r="L25" s="119">
        <v>3863.0000000000018</v>
      </c>
      <c r="M25" s="119">
        <v>5666392.3790835124</v>
      </c>
      <c r="N25" s="119">
        <v>4249.3000000000011</v>
      </c>
      <c r="O25" s="119">
        <v>6165491.1306896955</v>
      </c>
      <c r="P25" s="119">
        <v>4635.6000000000004</v>
      </c>
      <c r="Q25" s="119">
        <v>6664589.8822958795</v>
      </c>
      <c r="R25" s="119">
        <v>3476.7</v>
      </c>
      <c r="S25" s="119">
        <v>5167293.6274773274</v>
      </c>
      <c r="T25" s="119">
        <v>3090.3999999999996</v>
      </c>
      <c r="U25" s="119">
        <v>4668194.8758711442</v>
      </c>
    </row>
    <row r="26" spans="1:21" x14ac:dyDescent="0.25">
      <c r="A26" s="160" t="s">
        <v>119</v>
      </c>
      <c r="B26" s="161" t="s">
        <v>208</v>
      </c>
      <c r="C26" s="145"/>
      <c r="D26" s="162"/>
      <c r="E26" s="176">
        <f>4828-2300</f>
        <v>2528</v>
      </c>
      <c r="F26" s="174" t="s">
        <v>213</v>
      </c>
      <c r="G26" s="174"/>
      <c r="H26" s="174"/>
      <c r="I26" s="174"/>
      <c r="J26" s="163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2"/>
    </row>
    <row r="27" spans="1:21" ht="15.6" x14ac:dyDescent="0.25">
      <c r="A27" s="157" t="s">
        <v>136</v>
      </c>
      <c r="B27" s="164" t="s">
        <v>142</v>
      </c>
      <c r="C27" s="112"/>
      <c r="D27" s="165"/>
      <c r="E27" s="72">
        <v>6000</v>
      </c>
      <c r="F27" s="112" t="s">
        <v>172</v>
      </c>
      <c r="G27" s="112"/>
      <c r="H27" s="112"/>
      <c r="I27" s="112"/>
      <c r="J27" s="113"/>
      <c r="K27" s="480" t="s">
        <v>123</v>
      </c>
      <c r="L27" s="481"/>
      <c r="M27" s="481"/>
      <c r="N27" s="481"/>
      <c r="O27" s="481"/>
      <c r="P27" s="481"/>
      <c r="Q27" s="481"/>
      <c r="R27" s="481"/>
      <c r="S27" s="481"/>
      <c r="T27" s="481"/>
      <c r="U27" s="482"/>
    </row>
    <row r="28" spans="1:21" x14ac:dyDescent="0.25">
      <c r="A28" s="172" t="s">
        <v>201</v>
      </c>
      <c r="B28" s="115"/>
      <c r="C28" s="116"/>
      <c r="D28" s="117"/>
      <c r="E28" s="176">
        <v>3500</v>
      </c>
      <c r="F28" s="112" t="s">
        <v>200</v>
      </c>
      <c r="G28" s="112"/>
      <c r="H28" s="112"/>
      <c r="I28" s="112"/>
      <c r="J28" s="113"/>
      <c r="K28" s="89"/>
      <c r="L28" s="90" t="s">
        <v>96</v>
      </c>
      <c r="M28" s="91"/>
      <c r="N28" s="90" t="s">
        <v>97</v>
      </c>
      <c r="O28" s="91"/>
      <c r="P28" s="90" t="s">
        <v>98</v>
      </c>
      <c r="Q28" s="91"/>
      <c r="R28" s="90" t="s">
        <v>99</v>
      </c>
      <c r="S28" s="91"/>
      <c r="T28" s="90" t="s">
        <v>100</v>
      </c>
      <c r="U28" s="92"/>
    </row>
    <row r="29" spans="1:21" x14ac:dyDescent="0.25">
      <c r="A29" s="114"/>
      <c r="B29" s="115"/>
      <c r="C29" s="116"/>
      <c r="D29" s="117"/>
      <c r="E29" s="72"/>
      <c r="F29" s="112"/>
      <c r="G29" s="112"/>
      <c r="H29" s="112"/>
      <c r="I29" s="112"/>
      <c r="J29" s="113"/>
      <c r="K29" s="95" t="s">
        <v>106</v>
      </c>
      <c r="L29" s="171" t="s">
        <v>107</v>
      </c>
      <c r="M29" s="171" t="s">
        <v>48</v>
      </c>
      <c r="N29" s="171" t="s">
        <v>107</v>
      </c>
      <c r="O29" s="171" t="s">
        <v>48</v>
      </c>
      <c r="P29" s="171" t="s">
        <v>107</v>
      </c>
      <c r="Q29" s="171" t="s">
        <v>48</v>
      </c>
      <c r="R29" s="171" t="s">
        <v>107</v>
      </c>
      <c r="S29" s="171" t="s">
        <v>48</v>
      </c>
      <c r="T29" s="171" t="s">
        <v>107</v>
      </c>
      <c r="U29" s="171" t="s">
        <v>48</v>
      </c>
    </row>
    <row r="30" spans="1:21" x14ac:dyDescent="0.25">
      <c r="A30" s="123"/>
      <c r="B30" s="124"/>
      <c r="C30" s="125"/>
      <c r="D30" s="126"/>
      <c r="E30" s="127"/>
      <c r="F30" s="112"/>
      <c r="G30" s="112"/>
      <c r="H30" s="112"/>
      <c r="I30" s="112"/>
      <c r="J30" s="113"/>
      <c r="K30" s="61" t="s">
        <v>62</v>
      </c>
      <c r="L30" s="98">
        <v>1007.0000000000007</v>
      </c>
      <c r="M30" s="99">
        <v>13288.871798581085</v>
      </c>
      <c r="N30" s="98">
        <v>1107.7000000000003</v>
      </c>
      <c r="O30" s="99">
        <v>15858.81599091707</v>
      </c>
      <c r="P30" s="98">
        <v>1208.3999999999999</v>
      </c>
      <c r="Q30" s="99">
        <v>18428.760183253064</v>
      </c>
      <c r="R30" s="98">
        <v>906.30000000000007</v>
      </c>
      <c r="S30" s="99">
        <v>10718.927606245088</v>
      </c>
      <c r="T30" s="98">
        <v>805.59999999999945</v>
      </c>
      <c r="U30" s="99">
        <v>8148.9834139090972</v>
      </c>
    </row>
    <row r="31" spans="1:21" x14ac:dyDescent="0.25">
      <c r="A31" s="128"/>
      <c r="B31" s="129"/>
      <c r="C31" s="129"/>
      <c r="D31" s="129" t="s">
        <v>124</v>
      </c>
      <c r="E31" s="130">
        <f>SUM(E20:E29)</f>
        <v>199277</v>
      </c>
      <c r="F31" s="131"/>
      <c r="G31" s="131"/>
      <c r="H31" s="131"/>
      <c r="I31" s="131"/>
      <c r="J31" s="132"/>
      <c r="K31" s="61" t="s">
        <v>63</v>
      </c>
      <c r="L31" s="81">
        <v>795.00000000000011</v>
      </c>
      <c r="M31" s="72">
        <v>13681.667505465741</v>
      </c>
      <c r="N31" s="81">
        <v>874.50000000000023</v>
      </c>
      <c r="O31" s="72">
        <v>15988.128359237626</v>
      </c>
      <c r="P31" s="81">
        <v>954.00000000000011</v>
      </c>
      <c r="Q31" s="72">
        <v>18294.589213009527</v>
      </c>
      <c r="R31" s="81">
        <v>715.5</v>
      </c>
      <c r="S31" s="72">
        <v>11375.206651693847</v>
      </c>
      <c r="T31" s="81">
        <v>636</v>
      </c>
      <c r="U31" s="72">
        <v>9068.7457979219562</v>
      </c>
    </row>
    <row r="32" spans="1:21" x14ac:dyDescent="0.25">
      <c r="A32" s="133"/>
      <c r="B32" s="134"/>
      <c r="C32" s="134"/>
      <c r="D32" s="135"/>
      <c r="E32" s="136"/>
      <c r="F32" s="137"/>
      <c r="G32" s="137"/>
      <c r="H32" s="137"/>
      <c r="I32" s="137"/>
      <c r="J32" s="138"/>
      <c r="K32" s="61" t="s">
        <v>64</v>
      </c>
      <c r="L32" s="81">
        <v>591.99999999999977</v>
      </c>
      <c r="M32" s="72">
        <v>12372.45704396393</v>
      </c>
      <c r="N32" s="81">
        <v>651.20000000000005</v>
      </c>
      <c r="O32" s="72">
        <v>14391.209997350275</v>
      </c>
      <c r="P32" s="81">
        <v>710.39999999999986</v>
      </c>
      <c r="Q32" s="72">
        <v>16409.962950736623</v>
      </c>
      <c r="R32" s="81">
        <v>532.80000000000018</v>
      </c>
      <c r="S32" s="72">
        <v>10353.704090577581</v>
      </c>
      <c r="T32" s="81">
        <v>473.60000000000019</v>
      </c>
      <c r="U32" s="72">
        <v>8334.951137191234</v>
      </c>
    </row>
    <row r="33" spans="1:21" ht="15.6" x14ac:dyDescent="0.3">
      <c r="A33" s="493" t="s">
        <v>125</v>
      </c>
      <c r="B33" s="494"/>
      <c r="C33" s="494"/>
      <c r="D33" s="494"/>
      <c r="E33" s="494"/>
      <c r="F33" s="494"/>
      <c r="G33" s="494"/>
      <c r="H33" s="494"/>
      <c r="I33" s="494"/>
      <c r="J33" s="495"/>
      <c r="K33" s="61" t="s">
        <v>34</v>
      </c>
      <c r="L33" s="81">
        <v>288.99999999999989</v>
      </c>
      <c r="M33" s="72">
        <v>11289.288271683654</v>
      </c>
      <c r="N33" s="81">
        <v>317.89999999999992</v>
      </c>
      <c r="O33" s="72">
        <v>12492.829601082276</v>
      </c>
      <c r="P33" s="81">
        <v>346.80000000000007</v>
      </c>
      <c r="Q33" s="72">
        <v>13696.370930480887</v>
      </c>
      <c r="R33" s="81">
        <v>260.10000000000002</v>
      </c>
      <c r="S33" s="72">
        <v>10085.746942285039</v>
      </c>
      <c r="T33" s="81">
        <v>231.19999999999987</v>
      </c>
      <c r="U33" s="72">
        <v>8882.2056128864278</v>
      </c>
    </row>
    <row r="34" spans="1:21" x14ac:dyDescent="0.25">
      <c r="A34" s="60" t="s">
        <v>67</v>
      </c>
      <c r="B34" s="472" t="s">
        <v>115</v>
      </c>
      <c r="C34" s="473"/>
      <c r="D34" s="474"/>
      <c r="E34" s="60" t="s">
        <v>116</v>
      </c>
      <c r="F34" s="472" t="s">
        <v>117</v>
      </c>
      <c r="G34" s="475"/>
      <c r="H34" s="476"/>
      <c r="I34" s="476"/>
      <c r="J34" s="477"/>
      <c r="K34" s="61" t="s">
        <v>35</v>
      </c>
      <c r="L34" s="81">
        <v>86</v>
      </c>
      <c r="M34" s="72">
        <v>11375.403960967742</v>
      </c>
      <c r="N34" s="81">
        <v>94.599999999999966</v>
      </c>
      <c r="O34" s="72">
        <v>11943.18896146338</v>
      </c>
      <c r="P34" s="81">
        <v>103.20000000000003</v>
      </c>
      <c r="Q34" s="72">
        <v>12510.973961959013</v>
      </c>
      <c r="R34" s="81">
        <v>77.400000000000048</v>
      </c>
      <c r="S34" s="72">
        <v>10807.618960472104</v>
      </c>
      <c r="T34" s="81">
        <v>68.799999999999983</v>
      </c>
      <c r="U34" s="72">
        <v>10239.833959976473</v>
      </c>
    </row>
    <row r="35" spans="1:21" x14ac:dyDescent="0.25">
      <c r="A35" s="108"/>
      <c r="B35" s="109"/>
      <c r="C35" s="110"/>
      <c r="D35" s="139"/>
      <c r="E35" s="99"/>
      <c r="F35" s="140"/>
      <c r="G35" s="140"/>
      <c r="H35" s="140"/>
      <c r="I35" s="140"/>
      <c r="J35" s="141"/>
      <c r="K35" s="61" t="s">
        <v>36</v>
      </c>
      <c r="L35" s="81">
        <v>6.0000000000000027</v>
      </c>
      <c r="M35" s="72">
        <v>9303.9898556056069</v>
      </c>
      <c r="N35" s="81">
        <v>6.6000000000000192</v>
      </c>
      <c r="O35" s="72">
        <v>9490.5085271327025</v>
      </c>
      <c r="P35" s="81">
        <v>7.2000000000000126</v>
      </c>
      <c r="Q35" s="72">
        <v>9677.0271986598</v>
      </c>
      <c r="R35" s="81">
        <v>5.4000000000000092</v>
      </c>
      <c r="S35" s="72">
        <v>9117.4711840785112</v>
      </c>
      <c r="T35" s="81">
        <v>4.8000000000000096</v>
      </c>
      <c r="U35" s="72">
        <v>8930.9525125514156</v>
      </c>
    </row>
    <row r="36" spans="1:21" x14ac:dyDescent="0.25">
      <c r="A36" s="114"/>
      <c r="B36" s="115"/>
      <c r="C36" s="116"/>
      <c r="D36" s="142"/>
      <c r="E36" s="72"/>
      <c r="F36" s="112"/>
      <c r="G36" s="112"/>
      <c r="H36" s="112"/>
      <c r="I36" s="112"/>
      <c r="J36" s="113"/>
      <c r="K36" s="61" t="s">
        <v>37</v>
      </c>
      <c r="L36" s="81">
        <v>0</v>
      </c>
      <c r="M36" s="72">
        <v>9944.4919788334646</v>
      </c>
      <c r="N36" s="81">
        <v>0</v>
      </c>
      <c r="O36" s="72">
        <v>10003.893612454931</v>
      </c>
      <c r="P36" s="81">
        <v>0</v>
      </c>
      <c r="Q36" s="72">
        <v>10063.295246076405</v>
      </c>
      <c r="R36" s="81">
        <v>0</v>
      </c>
      <c r="S36" s="72">
        <v>9885.0903452119983</v>
      </c>
      <c r="T36" s="81">
        <v>0</v>
      </c>
      <c r="U36" s="72">
        <v>9825.6887115905211</v>
      </c>
    </row>
    <row r="37" spans="1:21" x14ac:dyDescent="0.25">
      <c r="A37" s="114"/>
      <c r="B37" s="115"/>
      <c r="C37" s="116"/>
      <c r="D37" s="142"/>
      <c r="E37" s="72"/>
      <c r="F37" s="112"/>
      <c r="G37" s="112"/>
      <c r="H37" s="112"/>
      <c r="I37" s="112"/>
      <c r="J37" s="113"/>
      <c r="K37" s="61" t="s">
        <v>38</v>
      </c>
      <c r="L37" s="81">
        <v>0.99999999999999922</v>
      </c>
      <c r="M37" s="72">
        <v>11211.622908715106</v>
      </c>
      <c r="N37" s="81">
        <v>1.1000000000000001</v>
      </c>
      <c r="O37" s="72">
        <v>11231.058694270601</v>
      </c>
      <c r="P37" s="81">
        <v>1.1999999999999988</v>
      </c>
      <c r="Q37" s="72">
        <v>11250.494479826091</v>
      </c>
      <c r="R37" s="81">
        <v>0.8999999999999998</v>
      </c>
      <c r="S37" s="72">
        <v>11192.187123159618</v>
      </c>
      <c r="T37" s="81">
        <v>0.79999999999999949</v>
      </c>
      <c r="U37" s="72">
        <v>11172.75133760415</v>
      </c>
    </row>
    <row r="38" spans="1:21" x14ac:dyDescent="0.25">
      <c r="A38" s="114"/>
      <c r="B38" s="115"/>
      <c r="C38" s="116"/>
      <c r="D38" s="142"/>
      <c r="E38" s="72"/>
      <c r="F38" s="112"/>
      <c r="G38" s="112"/>
      <c r="H38" s="112"/>
      <c r="I38" s="112"/>
      <c r="J38" s="113"/>
      <c r="K38" s="61" t="s">
        <v>39</v>
      </c>
      <c r="L38" s="81">
        <v>46</v>
      </c>
      <c r="M38" s="72">
        <v>9766.0953280339563</v>
      </c>
      <c r="N38" s="81">
        <v>50.599999999999994</v>
      </c>
      <c r="O38" s="72">
        <v>9827.9395564507959</v>
      </c>
      <c r="P38" s="81">
        <v>55.199999999999989</v>
      </c>
      <c r="Q38" s="72">
        <v>9889.7837848676281</v>
      </c>
      <c r="R38" s="81">
        <v>41.400000000000006</v>
      </c>
      <c r="S38" s="72">
        <v>9704.2510996171295</v>
      </c>
      <c r="T38" s="81">
        <v>36.799999999999997</v>
      </c>
      <c r="U38" s="72">
        <v>9642.4068712003173</v>
      </c>
    </row>
    <row r="39" spans="1:21" x14ac:dyDescent="0.25">
      <c r="A39" s="114"/>
      <c r="B39" s="115"/>
      <c r="C39" s="116"/>
      <c r="D39" s="142"/>
      <c r="E39" s="72"/>
      <c r="F39" s="112"/>
      <c r="G39" s="112"/>
      <c r="H39" s="112"/>
      <c r="I39" s="112"/>
      <c r="J39" s="113"/>
      <c r="K39" s="61" t="s">
        <v>40</v>
      </c>
      <c r="L39" s="81">
        <v>256</v>
      </c>
      <c r="M39" s="72">
        <v>10283.103640416453</v>
      </c>
      <c r="N39" s="81">
        <v>281.60000000000002</v>
      </c>
      <c r="O39" s="72">
        <v>10694.398022060826</v>
      </c>
      <c r="P39" s="81">
        <v>307.20000000000005</v>
      </c>
      <c r="Q39" s="72">
        <v>11105.692403705194</v>
      </c>
      <c r="R39" s="81">
        <v>230.39999999999998</v>
      </c>
      <c r="S39" s="72">
        <v>9871.8092587720857</v>
      </c>
      <c r="T39" s="81">
        <v>204.8</v>
      </c>
      <c r="U39" s="72">
        <v>9460.51487712772</v>
      </c>
    </row>
    <row r="40" spans="1:21" x14ac:dyDescent="0.25">
      <c r="A40" s="114"/>
      <c r="B40" s="115"/>
      <c r="C40" s="116"/>
      <c r="D40" s="142"/>
      <c r="E40" s="72"/>
      <c r="F40" s="112"/>
      <c r="G40" s="112"/>
      <c r="H40" s="112"/>
      <c r="I40" s="112"/>
      <c r="J40" s="113"/>
      <c r="K40" s="61" t="s">
        <v>65</v>
      </c>
      <c r="L40" s="81">
        <v>558</v>
      </c>
      <c r="M40" s="72">
        <v>14097.873273215442</v>
      </c>
      <c r="N40" s="81">
        <v>613.80000000000007</v>
      </c>
      <c r="O40" s="72">
        <v>15167.121903098017</v>
      </c>
      <c r="P40" s="81">
        <v>669.60000000000014</v>
      </c>
      <c r="Q40" s="72">
        <v>16236.370532980582</v>
      </c>
      <c r="R40" s="81">
        <v>502.20000000000005</v>
      </c>
      <c r="S40" s="72">
        <v>13028.624643332869</v>
      </c>
      <c r="T40" s="81">
        <v>446.40000000000015</v>
      </c>
      <c r="U40" s="72">
        <v>11959.376013450303</v>
      </c>
    </row>
    <row r="41" spans="1:21" x14ac:dyDescent="0.25">
      <c r="A41" s="114"/>
      <c r="B41" s="115"/>
      <c r="C41" s="116"/>
      <c r="D41" s="142"/>
      <c r="E41" s="72"/>
      <c r="F41" s="112"/>
      <c r="G41" s="112"/>
      <c r="H41" s="112"/>
      <c r="I41" s="112"/>
      <c r="J41" s="113"/>
      <c r="K41" s="61" t="s">
        <v>66</v>
      </c>
      <c r="L41" s="81">
        <v>911.00000000000068</v>
      </c>
      <c r="M41" s="72">
        <v>12921.625563117253</v>
      </c>
      <c r="N41" s="81">
        <v>1002.1000000000003</v>
      </c>
      <c r="O41" s="72">
        <v>14946.169840842065</v>
      </c>
      <c r="P41" s="81">
        <v>1093.1999999999998</v>
      </c>
      <c r="Q41" s="72">
        <v>16970.714118566881</v>
      </c>
      <c r="R41" s="81">
        <v>819.89999999999941</v>
      </c>
      <c r="S41" s="72">
        <v>10897.081285392447</v>
      </c>
      <c r="T41" s="81">
        <v>728.79999999999984</v>
      </c>
      <c r="U41" s="72">
        <v>8872.5370076676372</v>
      </c>
    </row>
    <row r="42" spans="1:21" x14ac:dyDescent="0.25">
      <c r="A42" s="114"/>
      <c r="B42" s="115"/>
      <c r="C42" s="116"/>
      <c r="D42" s="142"/>
      <c r="E42" s="72"/>
      <c r="F42" s="112"/>
      <c r="G42" s="112"/>
      <c r="H42" s="112"/>
      <c r="I42" s="112"/>
      <c r="J42" s="113"/>
      <c r="K42" s="118" t="s">
        <v>126</v>
      </c>
      <c r="L42" s="119">
        <v>4547.0000000000018</v>
      </c>
      <c r="M42" s="119">
        <v>139536.49112859945</v>
      </c>
      <c r="N42" s="119">
        <v>5001.7000000000007</v>
      </c>
      <c r="O42" s="119">
        <v>152035.26306636058</v>
      </c>
      <c r="P42" s="119">
        <v>5456.4</v>
      </c>
      <c r="Q42" s="119">
        <v>164534.03500412172</v>
      </c>
      <c r="R42" s="119">
        <v>4092.3</v>
      </c>
      <c r="S42" s="119">
        <v>127037.71919083832</v>
      </c>
      <c r="T42" s="119">
        <v>3637.6000000000004</v>
      </c>
      <c r="U42" s="119">
        <v>114538.94725307725</v>
      </c>
    </row>
    <row r="43" spans="1:21" x14ac:dyDescent="0.25">
      <c r="A43" s="114"/>
      <c r="B43" s="115"/>
      <c r="C43" s="116"/>
      <c r="D43" s="142"/>
      <c r="E43" s="72"/>
      <c r="F43" s="112"/>
      <c r="G43" s="112"/>
      <c r="H43" s="112"/>
      <c r="I43" s="112"/>
      <c r="J43" s="113"/>
      <c r="K43" s="118" t="s">
        <v>127</v>
      </c>
      <c r="L43" s="119">
        <v>3863.0000000000018</v>
      </c>
      <c r="M43" s="119">
        <v>66362.495184343454</v>
      </c>
      <c r="N43" s="119">
        <v>4249.3000000000011</v>
      </c>
      <c r="O43" s="119">
        <v>76351.446091445046</v>
      </c>
      <c r="P43" s="119">
        <v>4635.6000000000004</v>
      </c>
      <c r="Q43" s="119">
        <v>86340.396998546668</v>
      </c>
      <c r="R43" s="119">
        <v>3476.7</v>
      </c>
      <c r="S43" s="119">
        <v>56373.544277241832</v>
      </c>
      <c r="T43" s="119">
        <v>3090.3999999999996</v>
      </c>
      <c r="U43" s="119">
        <v>46384.593370140225</v>
      </c>
    </row>
    <row r="44" spans="1:21" x14ac:dyDescent="0.25">
      <c r="A44" s="114"/>
      <c r="B44" s="124"/>
      <c r="C44" s="125"/>
      <c r="D44" s="143"/>
      <c r="E44" s="127"/>
      <c r="F44" s="112"/>
      <c r="G44" s="112"/>
      <c r="H44" s="112"/>
      <c r="I44" s="112"/>
      <c r="J44" s="113"/>
      <c r="K44" s="118" t="s">
        <v>128</v>
      </c>
      <c r="L44" s="119">
        <v>4547.0000000000018</v>
      </c>
      <c r="M44" s="119">
        <v>7623773.4590967987</v>
      </c>
      <c r="N44" s="119">
        <v>5001.7000000000007</v>
      </c>
      <c r="O44" s="119">
        <v>8232815.4912597053</v>
      </c>
      <c r="P44" s="119">
        <v>5456.4</v>
      </c>
      <c r="Q44" s="119">
        <v>8841857.5234226156</v>
      </c>
      <c r="R44" s="119">
        <v>4092.3</v>
      </c>
      <c r="S44" s="119">
        <v>7014731.4269338911</v>
      </c>
      <c r="T44" s="119">
        <v>3637.6000000000004</v>
      </c>
      <c r="U44" s="119">
        <v>6405689.3947709845</v>
      </c>
    </row>
    <row r="45" spans="1:21" x14ac:dyDescent="0.25">
      <c r="A45" s="128"/>
      <c r="B45" s="129"/>
      <c r="C45" s="129"/>
      <c r="D45" s="129" t="s">
        <v>129</v>
      </c>
      <c r="E45" s="130">
        <v>0</v>
      </c>
      <c r="F45" s="131"/>
      <c r="G45" s="131"/>
      <c r="H45" s="131"/>
      <c r="I45" s="131"/>
      <c r="J45" s="132"/>
      <c r="K45" s="118" t="s">
        <v>130</v>
      </c>
      <c r="L45" s="119">
        <v>3863.0000000000018</v>
      </c>
      <c r="M45" s="119">
        <v>5732754.8742678557</v>
      </c>
      <c r="N45" s="119">
        <v>4249.3000000000011</v>
      </c>
      <c r="O45" s="119">
        <v>6241842.5767811406</v>
      </c>
      <c r="P45" s="119">
        <v>4635.6000000000004</v>
      </c>
      <c r="Q45" s="119">
        <v>6750930.2792944266</v>
      </c>
      <c r="R45" s="119">
        <v>3476.7</v>
      </c>
      <c r="S45" s="119">
        <v>5223667.1717545688</v>
      </c>
      <c r="T45" s="119">
        <v>3090.3999999999996</v>
      </c>
      <c r="U45" s="119">
        <v>4714579.4692412848</v>
      </c>
    </row>
    <row r="47" spans="1:21" x14ac:dyDescent="0.25">
      <c r="K47" s="61" t="s">
        <v>62</v>
      </c>
      <c r="M47" s="177">
        <f>+M12+M30</f>
        <v>1555868.0734081925</v>
      </c>
    </row>
    <row r="48" spans="1:21" x14ac:dyDescent="0.25">
      <c r="K48" s="61" t="s">
        <v>63</v>
      </c>
      <c r="M48" s="177">
        <f t="shared" ref="M48:M49" si="0">+M13+M31</f>
        <v>1222601.225828307</v>
      </c>
    </row>
    <row r="49" spans="1:13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61" t="s">
        <v>64</v>
      </c>
      <c r="M49" s="177">
        <f t="shared" si="0"/>
        <v>884111.96546784218</v>
      </c>
    </row>
    <row r="50" spans="1:13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61" t="s">
        <v>34</v>
      </c>
    </row>
    <row r="51" spans="1:13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61" t="s">
        <v>35</v>
      </c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61" t="s">
        <v>36</v>
      </c>
    </row>
    <row r="53" spans="1:13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61" t="s">
        <v>37</v>
      </c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61" t="s">
        <v>38</v>
      </c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61" t="s">
        <v>39</v>
      </c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61" t="s">
        <v>40</v>
      </c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61" t="s">
        <v>65</v>
      </c>
      <c r="M57" s="177">
        <f t="shared" ref="M57:M58" si="1">+M22+M40</f>
        <v>757198.67181873927</v>
      </c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61" t="s">
        <v>66</v>
      </c>
      <c r="M58" s="177">
        <f t="shared" si="1"/>
        <v>1312974.9377447749</v>
      </c>
    </row>
    <row r="59" spans="1:13" ht="14.4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M59" s="178">
        <f>SUM(M47:M58)</f>
        <v>5732754.8742678566</v>
      </c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F4:J4">
    <cfRule type="containsText" dxfId="23" priority="1" stopIfTrue="1" operator="containsText" text="PEAK DAY">
      <formula>NOT(ISERROR(SEARCH("PEAK DAY",F4)))</formula>
    </cfRule>
  </conditionalFormatting>
  <conditionalFormatting sqref="J9">
    <cfRule type="cellIs" dxfId="22" priority="4" stopIfTrue="1" operator="greaterThanOrEqual">
      <formula>$E$11</formula>
    </cfRule>
  </conditionalFormatting>
  <conditionalFormatting sqref="J10">
    <cfRule type="cellIs" dxfId="21" priority="3" stopIfTrue="1" operator="greaterThanOrEqual">
      <formula>$E$11</formula>
    </cfRule>
  </conditionalFormatting>
  <conditionalFormatting sqref="H9">
    <cfRule type="cellIs" dxfId="20" priority="2" stopIfTrue="1" operator="greaterThanOrEqual">
      <formula>$H$6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G46" sqref="G46"/>
    </sheetView>
  </sheetViews>
  <sheetFormatPr defaultRowHeight="13.8" x14ac:dyDescent="0.25"/>
  <cols>
    <col min="1" max="1" width="26.6640625" style="144" customWidth="1"/>
    <col min="2" max="3" width="18.6640625" style="144" customWidth="1"/>
    <col min="4" max="4" width="27.6640625" style="144" customWidth="1"/>
    <col min="5" max="5" width="15.6640625" style="144" customWidth="1"/>
    <col min="6" max="7" width="12.6640625" style="144" customWidth="1"/>
    <col min="8" max="8" width="17.6640625" style="144" customWidth="1"/>
    <col min="9" max="10" width="15.6640625" style="144" customWidth="1"/>
    <col min="11" max="11" width="22.33203125" style="47" customWidth="1"/>
    <col min="12" max="13" width="18.6640625" style="47" customWidth="1"/>
    <col min="14" max="21" width="15.88671875" style="47" customWidth="1"/>
    <col min="22" max="256" width="9.109375" style="47"/>
    <col min="257" max="257" width="26.6640625" style="47" customWidth="1"/>
    <col min="258" max="259" width="18.6640625" style="47" customWidth="1"/>
    <col min="260" max="260" width="27.6640625" style="47" customWidth="1"/>
    <col min="261" max="261" width="15.6640625" style="47" customWidth="1"/>
    <col min="262" max="263" width="12.6640625" style="47" customWidth="1"/>
    <col min="264" max="264" width="17.6640625" style="47" customWidth="1"/>
    <col min="265" max="266" width="15.6640625" style="47" customWidth="1"/>
    <col min="267" max="269" width="18.6640625" style="47" customWidth="1"/>
    <col min="270" max="277" width="15.88671875" style="47" customWidth="1"/>
    <col min="278" max="512" width="9.109375" style="47"/>
    <col min="513" max="513" width="26.6640625" style="47" customWidth="1"/>
    <col min="514" max="515" width="18.6640625" style="47" customWidth="1"/>
    <col min="516" max="516" width="27.6640625" style="47" customWidth="1"/>
    <col min="517" max="517" width="15.6640625" style="47" customWidth="1"/>
    <col min="518" max="519" width="12.6640625" style="47" customWidth="1"/>
    <col min="520" max="520" width="17.6640625" style="47" customWidth="1"/>
    <col min="521" max="522" width="15.6640625" style="47" customWidth="1"/>
    <col min="523" max="525" width="18.6640625" style="47" customWidth="1"/>
    <col min="526" max="533" width="15.88671875" style="47" customWidth="1"/>
    <col min="534" max="768" width="9.109375" style="47"/>
    <col min="769" max="769" width="26.6640625" style="47" customWidth="1"/>
    <col min="770" max="771" width="18.6640625" style="47" customWidth="1"/>
    <col min="772" max="772" width="27.6640625" style="47" customWidth="1"/>
    <col min="773" max="773" width="15.6640625" style="47" customWidth="1"/>
    <col min="774" max="775" width="12.6640625" style="47" customWidth="1"/>
    <col min="776" max="776" width="17.6640625" style="47" customWidth="1"/>
    <col min="777" max="778" width="15.6640625" style="47" customWidth="1"/>
    <col min="779" max="781" width="18.6640625" style="47" customWidth="1"/>
    <col min="782" max="789" width="15.88671875" style="47" customWidth="1"/>
    <col min="790" max="1024" width="9.109375" style="47"/>
    <col min="1025" max="1025" width="26.6640625" style="47" customWidth="1"/>
    <col min="1026" max="1027" width="18.6640625" style="47" customWidth="1"/>
    <col min="1028" max="1028" width="27.6640625" style="47" customWidth="1"/>
    <col min="1029" max="1029" width="15.6640625" style="47" customWidth="1"/>
    <col min="1030" max="1031" width="12.6640625" style="47" customWidth="1"/>
    <col min="1032" max="1032" width="17.6640625" style="47" customWidth="1"/>
    <col min="1033" max="1034" width="15.6640625" style="47" customWidth="1"/>
    <col min="1035" max="1037" width="18.6640625" style="47" customWidth="1"/>
    <col min="1038" max="1045" width="15.88671875" style="47" customWidth="1"/>
    <col min="1046" max="1280" width="9.109375" style="47"/>
    <col min="1281" max="1281" width="26.6640625" style="47" customWidth="1"/>
    <col min="1282" max="1283" width="18.6640625" style="47" customWidth="1"/>
    <col min="1284" max="1284" width="27.6640625" style="47" customWidth="1"/>
    <col min="1285" max="1285" width="15.6640625" style="47" customWidth="1"/>
    <col min="1286" max="1287" width="12.6640625" style="47" customWidth="1"/>
    <col min="1288" max="1288" width="17.6640625" style="47" customWidth="1"/>
    <col min="1289" max="1290" width="15.6640625" style="47" customWidth="1"/>
    <col min="1291" max="1293" width="18.6640625" style="47" customWidth="1"/>
    <col min="1294" max="1301" width="15.88671875" style="47" customWidth="1"/>
    <col min="1302" max="1536" width="9.109375" style="47"/>
    <col min="1537" max="1537" width="26.6640625" style="47" customWidth="1"/>
    <col min="1538" max="1539" width="18.6640625" style="47" customWidth="1"/>
    <col min="1540" max="1540" width="27.6640625" style="47" customWidth="1"/>
    <col min="1541" max="1541" width="15.6640625" style="47" customWidth="1"/>
    <col min="1542" max="1543" width="12.6640625" style="47" customWidth="1"/>
    <col min="1544" max="1544" width="17.6640625" style="47" customWidth="1"/>
    <col min="1545" max="1546" width="15.6640625" style="47" customWidth="1"/>
    <col min="1547" max="1549" width="18.6640625" style="47" customWidth="1"/>
    <col min="1550" max="1557" width="15.88671875" style="47" customWidth="1"/>
    <col min="1558" max="1792" width="9.109375" style="47"/>
    <col min="1793" max="1793" width="26.6640625" style="47" customWidth="1"/>
    <col min="1794" max="1795" width="18.6640625" style="47" customWidth="1"/>
    <col min="1796" max="1796" width="27.6640625" style="47" customWidth="1"/>
    <col min="1797" max="1797" width="15.6640625" style="47" customWidth="1"/>
    <col min="1798" max="1799" width="12.6640625" style="47" customWidth="1"/>
    <col min="1800" max="1800" width="17.6640625" style="47" customWidth="1"/>
    <col min="1801" max="1802" width="15.6640625" style="47" customWidth="1"/>
    <col min="1803" max="1805" width="18.6640625" style="47" customWidth="1"/>
    <col min="1806" max="1813" width="15.88671875" style="47" customWidth="1"/>
    <col min="1814" max="2048" width="9.109375" style="47"/>
    <col min="2049" max="2049" width="26.6640625" style="47" customWidth="1"/>
    <col min="2050" max="2051" width="18.6640625" style="47" customWidth="1"/>
    <col min="2052" max="2052" width="27.6640625" style="47" customWidth="1"/>
    <col min="2053" max="2053" width="15.6640625" style="47" customWidth="1"/>
    <col min="2054" max="2055" width="12.6640625" style="47" customWidth="1"/>
    <col min="2056" max="2056" width="17.6640625" style="47" customWidth="1"/>
    <col min="2057" max="2058" width="15.6640625" style="47" customWidth="1"/>
    <col min="2059" max="2061" width="18.6640625" style="47" customWidth="1"/>
    <col min="2062" max="2069" width="15.88671875" style="47" customWidth="1"/>
    <col min="2070" max="2304" width="9.109375" style="47"/>
    <col min="2305" max="2305" width="26.6640625" style="47" customWidth="1"/>
    <col min="2306" max="2307" width="18.6640625" style="47" customWidth="1"/>
    <col min="2308" max="2308" width="27.6640625" style="47" customWidth="1"/>
    <col min="2309" max="2309" width="15.6640625" style="47" customWidth="1"/>
    <col min="2310" max="2311" width="12.6640625" style="47" customWidth="1"/>
    <col min="2312" max="2312" width="17.6640625" style="47" customWidth="1"/>
    <col min="2313" max="2314" width="15.6640625" style="47" customWidth="1"/>
    <col min="2315" max="2317" width="18.6640625" style="47" customWidth="1"/>
    <col min="2318" max="2325" width="15.88671875" style="47" customWidth="1"/>
    <col min="2326" max="2560" width="9.109375" style="47"/>
    <col min="2561" max="2561" width="26.6640625" style="47" customWidth="1"/>
    <col min="2562" max="2563" width="18.6640625" style="47" customWidth="1"/>
    <col min="2564" max="2564" width="27.6640625" style="47" customWidth="1"/>
    <col min="2565" max="2565" width="15.6640625" style="47" customWidth="1"/>
    <col min="2566" max="2567" width="12.6640625" style="47" customWidth="1"/>
    <col min="2568" max="2568" width="17.6640625" style="47" customWidth="1"/>
    <col min="2569" max="2570" width="15.6640625" style="47" customWidth="1"/>
    <col min="2571" max="2573" width="18.6640625" style="47" customWidth="1"/>
    <col min="2574" max="2581" width="15.88671875" style="47" customWidth="1"/>
    <col min="2582" max="2816" width="9.109375" style="47"/>
    <col min="2817" max="2817" width="26.6640625" style="47" customWidth="1"/>
    <col min="2818" max="2819" width="18.6640625" style="47" customWidth="1"/>
    <col min="2820" max="2820" width="27.6640625" style="47" customWidth="1"/>
    <col min="2821" max="2821" width="15.6640625" style="47" customWidth="1"/>
    <col min="2822" max="2823" width="12.6640625" style="47" customWidth="1"/>
    <col min="2824" max="2824" width="17.6640625" style="47" customWidth="1"/>
    <col min="2825" max="2826" width="15.6640625" style="47" customWidth="1"/>
    <col min="2827" max="2829" width="18.6640625" style="47" customWidth="1"/>
    <col min="2830" max="2837" width="15.88671875" style="47" customWidth="1"/>
    <col min="2838" max="3072" width="9.109375" style="47"/>
    <col min="3073" max="3073" width="26.6640625" style="47" customWidth="1"/>
    <col min="3074" max="3075" width="18.6640625" style="47" customWidth="1"/>
    <col min="3076" max="3076" width="27.6640625" style="47" customWidth="1"/>
    <col min="3077" max="3077" width="15.6640625" style="47" customWidth="1"/>
    <col min="3078" max="3079" width="12.6640625" style="47" customWidth="1"/>
    <col min="3080" max="3080" width="17.6640625" style="47" customWidth="1"/>
    <col min="3081" max="3082" width="15.6640625" style="47" customWidth="1"/>
    <col min="3083" max="3085" width="18.6640625" style="47" customWidth="1"/>
    <col min="3086" max="3093" width="15.88671875" style="47" customWidth="1"/>
    <col min="3094" max="3328" width="9.109375" style="47"/>
    <col min="3329" max="3329" width="26.6640625" style="47" customWidth="1"/>
    <col min="3330" max="3331" width="18.6640625" style="47" customWidth="1"/>
    <col min="3332" max="3332" width="27.6640625" style="47" customWidth="1"/>
    <col min="3333" max="3333" width="15.6640625" style="47" customWidth="1"/>
    <col min="3334" max="3335" width="12.6640625" style="47" customWidth="1"/>
    <col min="3336" max="3336" width="17.6640625" style="47" customWidth="1"/>
    <col min="3337" max="3338" width="15.6640625" style="47" customWidth="1"/>
    <col min="3339" max="3341" width="18.6640625" style="47" customWidth="1"/>
    <col min="3342" max="3349" width="15.88671875" style="47" customWidth="1"/>
    <col min="3350" max="3584" width="9.109375" style="47"/>
    <col min="3585" max="3585" width="26.6640625" style="47" customWidth="1"/>
    <col min="3586" max="3587" width="18.6640625" style="47" customWidth="1"/>
    <col min="3588" max="3588" width="27.6640625" style="47" customWidth="1"/>
    <col min="3589" max="3589" width="15.6640625" style="47" customWidth="1"/>
    <col min="3590" max="3591" width="12.6640625" style="47" customWidth="1"/>
    <col min="3592" max="3592" width="17.6640625" style="47" customWidth="1"/>
    <col min="3593" max="3594" width="15.6640625" style="47" customWidth="1"/>
    <col min="3595" max="3597" width="18.6640625" style="47" customWidth="1"/>
    <col min="3598" max="3605" width="15.88671875" style="47" customWidth="1"/>
    <col min="3606" max="3840" width="9.109375" style="47"/>
    <col min="3841" max="3841" width="26.6640625" style="47" customWidth="1"/>
    <col min="3842" max="3843" width="18.6640625" style="47" customWidth="1"/>
    <col min="3844" max="3844" width="27.6640625" style="47" customWidth="1"/>
    <col min="3845" max="3845" width="15.6640625" style="47" customWidth="1"/>
    <col min="3846" max="3847" width="12.6640625" style="47" customWidth="1"/>
    <col min="3848" max="3848" width="17.6640625" style="47" customWidth="1"/>
    <col min="3849" max="3850" width="15.6640625" style="47" customWidth="1"/>
    <col min="3851" max="3853" width="18.6640625" style="47" customWidth="1"/>
    <col min="3854" max="3861" width="15.88671875" style="47" customWidth="1"/>
    <col min="3862" max="4096" width="9.109375" style="47"/>
    <col min="4097" max="4097" width="26.6640625" style="47" customWidth="1"/>
    <col min="4098" max="4099" width="18.6640625" style="47" customWidth="1"/>
    <col min="4100" max="4100" width="27.6640625" style="47" customWidth="1"/>
    <col min="4101" max="4101" width="15.6640625" style="47" customWidth="1"/>
    <col min="4102" max="4103" width="12.6640625" style="47" customWidth="1"/>
    <col min="4104" max="4104" width="17.6640625" style="47" customWidth="1"/>
    <col min="4105" max="4106" width="15.6640625" style="47" customWidth="1"/>
    <col min="4107" max="4109" width="18.6640625" style="47" customWidth="1"/>
    <col min="4110" max="4117" width="15.88671875" style="47" customWidth="1"/>
    <col min="4118" max="4352" width="9.109375" style="47"/>
    <col min="4353" max="4353" width="26.6640625" style="47" customWidth="1"/>
    <col min="4354" max="4355" width="18.6640625" style="47" customWidth="1"/>
    <col min="4356" max="4356" width="27.6640625" style="47" customWidth="1"/>
    <col min="4357" max="4357" width="15.6640625" style="47" customWidth="1"/>
    <col min="4358" max="4359" width="12.6640625" style="47" customWidth="1"/>
    <col min="4360" max="4360" width="17.6640625" style="47" customWidth="1"/>
    <col min="4361" max="4362" width="15.6640625" style="47" customWidth="1"/>
    <col min="4363" max="4365" width="18.6640625" style="47" customWidth="1"/>
    <col min="4366" max="4373" width="15.88671875" style="47" customWidth="1"/>
    <col min="4374" max="4608" width="9.109375" style="47"/>
    <col min="4609" max="4609" width="26.6640625" style="47" customWidth="1"/>
    <col min="4610" max="4611" width="18.6640625" style="47" customWidth="1"/>
    <col min="4612" max="4612" width="27.6640625" style="47" customWidth="1"/>
    <col min="4613" max="4613" width="15.6640625" style="47" customWidth="1"/>
    <col min="4614" max="4615" width="12.6640625" style="47" customWidth="1"/>
    <col min="4616" max="4616" width="17.6640625" style="47" customWidth="1"/>
    <col min="4617" max="4618" width="15.6640625" style="47" customWidth="1"/>
    <col min="4619" max="4621" width="18.6640625" style="47" customWidth="1"/>
    <col min="4622" max="4629" width="15.88671875" style="47" customWidth="1"/>
    <col min="4630" max="4864" width="9.109375" style="47"/>
    <col min="4865" max="4865" width="26.6640625" style="47" customWidth="1"/>
    <col min="4866" max="4867" width="18.6640625" style="47" customWidth="1"/>
    <col min="4868" max="4868" width="27.6640625" style="47" customWidth="1"/>
    <col min="4869" max="4869" width="15.6640625" style="47" customWidth="1"/>
    <col min="4870" max="4871" width="12.6640625" style="47" customWidth="1"/>
    <col min="4872" max="4872" width="17.6640625" style="47" customWidth="1"/>
    <col min="4873" max="4874" width="15.6640625" style="47" customWidth="1"/>
    <col min="4875" max="4877" width="18.6640625" style="47" customWidth="1"/>
    <col min="4878" max="4885" width="15.88671875" style="47" customWidth="1"/>
    <col min="4886" max="5120" width="9.109375" style="47"/>
    <col min="5121" max="5121" width="26.6640625" style="47" customWidth="1"/>
    <col min="5122" max="5123" width="18.6640625" style="47" customWidth="1"/>
    <col min="5124" max="5124" width="27.6640625" style="47" customWidth="1"/>
    <col min="5125" max="5125" width="15.6640625" style="47" customWidth="1"/>
    <col min="5126" max="5127" width="12.6640625" style="47" customWidth="1"/>
    <col min="5128" max="5128" width="17.6640625" style="47" customWidth="1"/>
    <col min="5129" max="5130" width="15.6640625" style="47" customWidth="1"/>
    <col min="5131" max="5133" width="18.6640625" style="47" customWidth="1"/>
    <col min="5134" max="5141" width="15.88671875" style="47" customWidth="1"/>
    <col min="5142" max="5376" width="9.109375" style="47"/>
    <col min="5377" max="5377" width="26.6640625" style="47" customWidth="1"/>
    <col min="5378" max="5379" width="18.6640625" style="47" customWidth="1"/>
    <col min="5380" max="5380" width="27.6640625" style="47" customWidth="1"/>
    <col min="5381" max="5381" width="15.6640625" style="47" customWidth="1"/>
    <col min="5382" max="5383" width="12.6640625" style="47" customWidth="1"/>
    <col min="5384" max="5384" width="17.6640625" style="47" customWidth="1"/>
    <col min="5385" max="5386" width="15.6640625" style="47" customWidth="1"/>
    <col min="5387" max="5389" width="18.6640625" style="47" customWidth="1"/>
    <col min="5390" max="5397" width="15.88671875" style="47" customWidth="1"/>
    <col min="5398" max="5632" width="9.109375" style="47"/>
    <col min="5633" max="5633" width="26.6640625" style="47" customWidth="1"/>
    <col min="5634" max="5635" width="18.6640625" style="47" customWidth="1"/>
    <col min="5636" max="5636" width="27.6640625" style="47" customWidth="1"/>
    <col min="5637" max="5637" width="15.6640625" style="47" customWidth="1"/>
    <col min="5638" max="5639" width="12.6640625" style="47" customWidth="1"/>
    <col min="5640" max="5640" width="17.6640625" style="47" customWidth="1"/>
    <col min="5641" max="5642" width="15.6640625" style="47" customWidth="1"/>
    <col min="5643" max="5645" width="18.6640625" style="47" customWidth="1"/>
    <col min="5646" max="5653" width="15.88671875" style="47" customWidth="1"/>
    <col min="5654" max="5888" width="9.109375" style="47"/>
    <col min="5889" max="5889" width="26.6640625" style="47" customWidth="1"/>
    <col min="5890" max="5891" width="18.6640625" style="47" customWidth="1"/>
    <col min="5892" max="5892" width="27.6640625" style="47" customWidth="1"/>
    <col min="5893" max="5893" width="15.6640625" style="47" customWidth="1"/>
    <col min="5894" max="5895" width="12.6640625" style="47" customWidth="1"/>
    <col min="5896" max="5896" width="17.6640625" style="47" customWidth="1"/>
    <col min="5897" max="5898" width="15.6640625" style="47" customWidth="1"/>
    <col min="5899" max="5901" width="18.6640625" style="47" customWidth="1"/>
    <col min="5902" max="5909" width="15.88671875" style="47" customWidth="1"/>
    <col min="5910" max="6144" width="9.109375" style="47"/>
    <col min="6145" max="6145" width="26.6640625" style="47" customWidth="1"/>
    <col min="6146" max="6147" width="18.6640625" style="47" customWidth="1"/>
    <col min="6148" max="6148" width="27.6640625" style="47" customWidth="1"/>
    <col min="6149" max="6149" width="15.6640625" style="47" customWidth="1"/>
    <col min="6150" max="6151" width="12.6640625" style="47" customWidth="1"/>
    <col min="6152" max="6152" width="17.6640625" style="47" customWidth="1"/>
    <col min="6153" max="6154" width="15.6640625" style="47" customWidth="1"/>
    <col min="6155" max="6157" width="18.6640625" style="47" customWidth="1"/>
    <col min="6158" max="6165" width="15.88671875" style="47" customWidth="1"/>
    <col min="6166" max="6400" width="9.109375" style="47"/>
    <col min="6401" max="6401" width="26.6640625" style="47" customWidth="1"/>
    <col min="6402" max="6403" width="18.6640625" style="47" customWidth="1"/>
    <col min="6404" max="6404" width="27.6640625" style="47" customWidth="1"/>
    <col min="6405" max="6405" width="15.6640625" style="47" customWidth="1"/>
    <col min="6406" max="6407" width="12.6640625" style="47" customWidth="1"/>
    <col min="6408" max="6408" width="17.6640625" style="47" customWidth="1"/>
    <col min="6409" max="6410" width="15.6640625" style="47" customWidth="1"/>
    <col min="6411" max="6413" width="18.6640625" style="47" customWidth="1"/>
    <col min="6414" max="6421" width="15.88671875" style="47" customWidth="1"/>
    <col min="6422" max="6656" width="9.109375" style="47"/>
    <col min="6657" max="6657" width="26.6640625" style="47" customWidth="1"/>
    <col min="6658" max="6659" width="18.6640625" style="47" customWidth="1"/>
    <col min="6660" max="6660" width="27.6640625" style="47" customWidth="1"/>
    <col min="6661" max="6661" width="15.6640625" style="47" customWidth="1"/>
    <col min="6662" max="6663" width="12.6640625" style="47" customWidth="1"/>
    <col min="6664" max="6664" width="17.6640625" style="47" customWidth="1"/>
    <col min="6665" max="6666" width="15.6640625" style="47" customWidth="1"/>
    <col min="6667" max="6669" width="18.6640625" style="47" customWidth="1"/>
    <col min="6670" max="6677" width="15.88671875" style="47" customWidth="1"/>
    <col min="6678" max="6912" width="9.109375" style="47"/>
    <col min="6913" max="6913" width="26.6640625" style="47" customWidth="1"/>
    <col min="6914" max="6915" width="18.6640625" style="47" customWidth="1"/>
    <col min="6916" max="6916" width="27.6640625" style="47" customWidth="1"/>
    <col min="6917" max="6917" width="15.6640625" style="47" customWidth="1"/>
    <col min="6918" max="6919" width="12.6640625" style="47" customWidth="1"/>
    <col min="6920" max="6920" width="17.6640625" style="47" customWidth="1"/>
    <col min="6921" max="6922" width="15.6640625" style="47" customWidth="1"/>
    <col min="6923" max="6925" width="18.6640625" style="47" customWidth="1"/>
    <col min="6926" max="6933" width="15.88671875" style="47" customWidth="1"/>
    <col min="6934" max="7168" width="9.109375" style="47"/>
    <col min="7169" max="7169" width="26.6640625" style="47" customWidth="1"/>
    <col min="7170" max="7171" width="18.6640625" style="47" customWidth="1"/>
    <col min="7172" max="7172" width="27.6640625" style="47" customWidth="1"/>
    <col min="7173" max="7173" width="15.6640625" style="47" customWidth="1"/>
    <col min="7174" max="7175" width="12.6640625" style="47" customWidth="1"/>
    <col min="7176" max="7176" width="17.6640625" style="47" customWidth="1"/>
    <col min="7177" max="7178" width="15.6640625" style="47" customWidth="1"/>
    <col min="7179" max="7181" width="18.6640625" style="47" customWidth="1"/>
    <col min="7182" max="7189" width="15.88671875" style="47" customWidth="1"/>
    <col min="7190" max="7424" width="9.109375" style="47"/>
    <col min="7425" max="7425" width="26.6640625" style="47" customWidth="1"/>
    <col min="7426" max="7427" width="18.6640625" style="47" customWidth="1"/>
    <col min="7428" max="7428" width="27.6640625" style="47" customWidth="1"/>
    <col min="7429" max="7429" width="15.6640625" style="47" customWidth="1"/>
    <col min="7430" max="7431" width="12.6640625" style="47" customWidth="1"/>
    <col min="7432" max="7432" width="17.6640625" style="47" customWidth="1"/>
    <col min="7433" max="7434" width="15.6640625" style="47" customWidth="1"/>
    <col min="7435" max="7437" width="18.6640625" style="47" customWidth="1"/>
    <col min="7438" max="7445" width="15.88671875" style="47" customWidth="1"/>
    <col min="7446" max="7680" width="9.109375" style="47"/>
    <col min="7681" max="7681" width="26.6640625" style="47" customWidth="1"/>
    <col min="7682" max="7683" width="18.6640625" style="47" customWidth="1"/>
    <col min="7684" max="7684" width="27.6640625" style="47" customWidth="1"/>
    <col min="7685" max="7685" width="15.6640625" style="47" customWidth="1"/>
    <col min="7686" max="7687" width="12.6640625" style="47" customWidth="1"/>
    <col min="7688" max="7688" width="17.6640625" style="47" customWidth="1"/>
    <col min="7689" max="7690" width="15.6640625" style="47" customWidth="1"/>
    <col min="7691" max="7693" width="18.6640625" style="47" customWidth="1"/>
    <col min="7694" max="7701" width="15.88671875" style="47" customWidth="1"/>
    <col min="7702" max="7936" width="9.109375" style="47"/>
    <col min="7937" max="7937" width="26.6640625" style="47" customWidth="1"/>
    <col min="7938" max="7939" width="18.6640625" style="47" customWidth="1"/>
    <col min="7940" max="7940" width="27.6640625" style="47" customWidth="1"/>
    <col min="7941" max="7941" width="15.6640625" style="47" customWidth="1"/>
    <col min="7942" max="7943" width="12.6640625" style="47" customWidth="1"/>
    <col min="7944" max="7944" width="17.6640625" style="47" customWidth="1"/>
    <col min="7945" max="7946" width="15.6640625" style="47" customWidth="1"/>
    <col min="7947" max="7949" width="18.6640625" style="47" customWidth="1"/>
    <col min="7950" max="7957" width="15.88671875" style="47" customWidth="1"/>
    <col min="7958" max="8192" width="9.109375" style="47"/>
    <col min="8193" max="8193" width="26.6640625" style="47" customWidth="1"/>
    <col min="8194" max="8195" width="18.6640625" style="47" customWidth="1"/>
    <col min="8196" max="8196" width="27.6640625" style="47" customWidth="1"/>
    <col min="8197" max="8197" width="15.6640625" style="47" customWidth="1"/>
    <col min="8198" max="8199" width="12.6640625" style="47" customWidth="1"/>
    <col min="8200" max="8200" width="17.6640625" style="47" customWidth="1"/>
    <col min="8201" max="8202" width="15.6640625" style="47" customWidth="1"/>
    <col min="8203" max="8205" width="18.6640625" style="47" customWidth="1"/>
    <col min="8206" max="8213" width="15.88671875" style="47" customWidth="1"/>
    <col min="8214" max="8448" width="9.109375" style="47"/>
    <col min="8449" max="8449" width="26.6640625" style="47" customWidth="1"/>
    <col min="8450" max="8451" width="18.6640625" style="47" customWidth="1"/>
    <col min="8452" max="8452" width="27.6640625" style="47" customWidth="1"/>
    <col min="8453" max="8453" width="15.6640625" style="47" customWidth="1"/>
    <col min="8454" max="8455" width="12.6640625" style="47" customWidth="1"/>
    <col min="8456" max="8456" width="17.6640625" style="47" customWidth="1"/>
    <col min="8457" max="8458" width="15.6640625" style="47" customWidth="1"/>
    <col min="8459" max="8461" width="18.6640625" style="47" customWidth="1"/>
    <col min="8462" max="8469" width="15.88671875" style="47" customWidth="1"/>
    <col min="8470" max="8704" width="9.109375" style="47"/>
    <col min="8705" max="8705" width="26.6640625" style="47" customWidth="1"/>
    <col min="8706" max="8707" width="18.6640625" style="47" customWidth="1"/>
    <col min="8708" max="8708" width="27.6640625" style="47" customWidth="1"/>
    <col min="8709" max="8709" width="15.6640625" style="47" customWidth="1"/>
    <col min="8710" max="8711" width="12.6640625" style="47" customWidth="1"/>
    <col min="8712" max="8712" width="17.6640625" style="47" customWidth="1"/>
    <col min="8713" max="8714" width="15.6640625" style="47" customWidth="1"/>
    <col min="8715" max="8717" width="18.6640625" style="47" customWidth="1"/>
    <col min="8718" max="8725" width="15.88671875" style="47" customWidth="1"/>
    <col min="8726" max="8960" width="9.109375" style="47"/>
    <col min="8961" max="8961" width="26.6640625" style="47" customWidth="1"/>
    <col min="8962" max="8963" width="18.6640625" style="47" customWidth="1"/>
    <col min="8964" max="8964" width="27.6640625" style="47" customWidth="1"/>
    <col min="8965" max="8965" width="15.6640625" style="47" customWidth="1"/>
    <col min="8966" max="8967" width="12.6640625" style="47" customWidth="1"/>
    <col min="8968" max="8968" width="17.6640625" style="47" customWidth="1"/>
    <col min="8969" max="8970" width="15.6640625" style="47" customWidth="1"/>
    <col min="8971" max="8973" width="18.6640625" style="47" customWidth="1"/>
    <col min="8974" max="8981" width="15.88671875" style="47" customWidth="1"/>
    <col min="8982" max="9216" width="9.109375" style="47"/>
    <col min="9217" max="9217" width="26.6640625" style="47" customWidth="1"/>
    <col min="9218" max="9219" width="18.6640625" style="47" customWidth="1"/>
    <col min="9220" max="9220" width="27.6640625" style="47" customWidth="1"/>
    <col min="9221" max="9221" width="15.6640625" style="47" customWidth="1"/>
    <col min="9222" max="9223" width="12.6640625" style="47" customWidth="1"/>
    <col min="9224" max="9224" width="17.6640625" style="47" customWidth="1"/>
    <col min="9225" max="9226" width="15.6640625" style="47" customWidth="1"/>
    <col min="9227" max="9229" width="18.6640625" style="47" customWidth="1"/>
    <col min="9230" max="9237" width="15.88671875" style="47" customWidth="1"/>
    <col min="9238" max="9472" width="9.109375" style="47"/>
    <col min="9473" max="9473" width="26.6640625" style="47" customWidth="1"/>
    <col min="9474" max="9475" width="18.6640625" style="47" customWidth="1"/>
    <col min="9476" max="9476" width="27.6640625" style="47" customWidth="1"/>
    <col min="9477" max="9477" width="15.6640625" style="47" customWidth="1"/>
    <col min="9478" max="9479" width="12.6640625" style="47" customWidth="1"/>
    <col min="9480" max="9480" width="17.6640625" style="47" customWidth="1"/>
    <col min="9481" max="9482" width="15.6640625" style="47" customWidth="1"/>
    <col min="9483" max="9485" width="18.6640625" style="47" customWidth="1"/>
    <col min="9486" max="9493" width="15.88671875" style="47" customWidth="1"/>
    <col min="9494" max="9728" width="9.109375" style="47"/>
    <col min="9729" max="9729" width="26.6640625" style="47" customWidth="1"/>
    <col min="9730" max="9731" width="18.6640625" style="47" customWidth="1"/>
    <col min="9732" max="9732" width="27.6640625" style="47" customWidth="1"/>
    <col min="9733" max="9733" width="15.6640625" style="47" customWidth="1"/>
    <col min="9734" max="9735" width="12.6640625" style="47" customWidth="1"/>
    <col min="9736" max="9736" width="17.6640625" style="47" customWidth="1"/>
    <col min="9737" max="9738" width="15.6640625" style="47" customWidth="1"/>
    <col min="9739" max="9741" width="18.6640625" style="47" customWidth="1"/>
    <col min="9742" max="9749" width="15.88671875" style="47" customWidth="1"/>
    <col min="9750" max="9984" width="9.109375" style="47"/>
    <col min="9985" max="9985" width="26.6640625" style="47" customWidth="1"/>
    <col min="9986" max="9987" width="18.6640625" style="47" customWidth="1"/>
    <col min="9988" max="9988" width="27.6640625" style="47" customWidth="1"/>
    <col min="9989" max="9989" width="15.6640625" style="47" customWidth="1"/>
    <col min="9990" max="9991" width="12.6640625" style="47" customWidth="1"/>
    <col min="9992" max="9992" width="17.6640625" style="47" customWidth="1"/>
    <col min="9993" max="9994" width="15.6640625" style="47" customWidth="1"/>
    <col min="9995" max="9997" width="18.6640625" style="47" customWidth="1"/>
    <col min="9998" max="10005" width="15.88671875" style="47" customWidth="1"/>
    <col min="10006" max="10240" width="9.109375" style="47"/>
    <col min="10241" max="10241" width="26.6640625" style="47" customWidth="1"/>
    <col min="10242" max="10243" width="18.6640625" style="47" customWidth="1"/>
    <col min="10244" max="10244" width="27.6640625" style="47" customWidth="1"/>
    <col min="10245" max="10245" width="15.6640625" style="47" customWidth="1"/>
    <col min="10246" max="10247" width="12.6640625" style="47" customWidth="1"/>
    <col min="10248" max="10248" width="17.6640625" style="47" customWidth="1"/>
    <col min="10249" max="10250" width="15.6640625" style="47" customWidth="1"/>
    <col min="10251" max="10253" width="18.6640625" style="47" customWidth="1"/>
    <col min="10254" max="10261" width="15.88671875" style="47" customWidth="1"/>
    <col min="10262" max="10496" width="9.109375" style="47"/>
    <col min="10497" max="10497" width="26.6640625" style="47" customWidth="1"/>
    <col min="10498" max="10499" width="18.6640625" style="47" customWidth="1"/>
    <col min="10500" max="10500" width="27.6640625" style="47" customWidth="1"/>
    <col min="10501" max="10501" width="15.6640625" style="47" customWidth="1"/>
    <col min="10502" max="10503" width="12.6640625" style="47" customWidth="1"/>
    <col min="10504" max="10504" width="17.6640625" style="47" customWidth="1"/>
    <col min="10505" max="10506" width="15.6640625" style="47" customWidth="1"/>
    <col min="10507" max="10509" width="18.6640625" style="47" customWidth="1"/>
    <col min="10510" max="10517" width="15.88671875" style="47" customWidth="1"/>
    <col min="10518" max="10752" width="9.109375" style="47"/>
    <col min="10753" max="10753" width="26.6640625" style="47" customWidth="1"/>
    <col min="10754" max="10755" width="18.6640625" style="47" customWidth="1"/>
    <col min="10756" max="10756" width="27.6640625" style="47" customWidth="1"/>
    <col min="10757" max="10757" width="15.6640625" style="47" customWidth="1"/>
    <col min="10758" max="10759" width="12.6640625" style="47" customWidth="1"/>
    <col min="10760" max="10760" width="17.6640625" style="47" customWidth="1"/>
    <col min="10761" max="10762" width="15.6640625" style="47" customWidth="1"/>
    <col min="10763" max="10765" width="18.6640625" style="47" customWidth="1"/>
    <col min="10766" max="10773" width="15.88671875" style="47" customWidth="1"/>
    <col min="10774" max="11008" width="9.109375" style="47"/>
    <col min="11009" max="11009" width="26.6640625" style="47" customWidth="1"/>
    <col min="11010" max="11011" width="18.6640625" style="47" customWidth="1"/>
    <col min="11012" max="11012" width="27.6640625" style="47" customWidth="1"/>
    <col min="11013" max="11013" width="15.6640625" style="47" customWidth="1"/>
    <col min="11014" max="11015" width="12.6640625" style="47" customWidth="1"/>
    <col min="11016" max="11016" width="17.6640625" style="47" customWidth="1"/>
    <col min="11017" max="11018" width="15.6640625" style="47" customWidth="1"/>
    <col min="11019" max="11021" width="18.6640625" style="47" customWidth="1"/>
    <col min="11022" max="11029" width="15.88671875" style="47" customWidth="1"/>
    <col min="11030" max="11264" width="9.109375" style="47"/>
    <col min="11265" max="11265" width="26.6640625" style="47" customWidth="1"/>
    <col min="11266" max="11267" width="18.6640625" style="47" customWidth="1"/>
    <col min="11268" max="11268" width="27.6640625" style="47" customWidth="1"/>
    <col min="11269" max="11269" width="15.6640625" style="47" customWidth="1"/>
    <col min="11270" max="11271" width="12.6640625" style="47" customWidth="1"/>
    <col min="11272" max="11272" width="17.6640625" style="47" customWidth="1"/>
    <col min="11273" max="11274" width="15.6640625" style="47" customWidth="1"/>
    <col min="11275" max="11277" width="18.6640625" style="47" customWidth="1"/>
    <col min="11278" max="11285" width="15.88671875" style="47" customWidth="1"/>
    <col min="11286" max="11520" width="9.109375" style="47"/>
    <col min="11521" max="11521" width="26.6640625" style="47" customWidth="1"/>
    <col min="11522" max="11523" width="18.6640625" style="47" customWidth="1"/>
    <col min="11524" max="11524" width="27.6640625" style="47" customWidth="1"/>
    <col min="11525" max="11525" width="15.6640625" style="47" customWidth="1"/>
    <col min="11526" max="11527" width="12.6640625" style="47" customWidth="1"/>
    <col min="11528" max="11528" width="17.6640625" style="47" customWidth="1"/>
    <col min="11529" max="11530" width="15.6640625" style="47" customWidth="1"/>
    <col min="11531" max="11533" width="18.6640625" style="47" customWidth="1"/>
    <col min="11534" max="11541" width="15.88671875" style="47" customWidth="1"/>
    <col min="11542" max="11776" width="9.109375" style="47"/>
    <col min="11777" max="11777" width="26.6640625" style="47" customWidth="1"/>
    <col min="11778" max="11779" width="18.6640625" style="47" customWidth="1"/>
    <col min="11780" max="11780" width="27.6640625" style="47" customWidth="1"/>
    <col min="11781" max="11781" width="15.6640625" style="47" customWidth="1"/>
    <col min="11782" max="11783" width="12.6640625" style="47" customWidth="1"/>
    <col min="11784" max="11784" width="17.6640625" style="47" customWidth="1"/>
    <col min="11785" max="11786" width="15.6640625" style="47" customWidth="1"/>
    <col min="11787" max="11789" width="18.6640625" style="47" customWidth="1"/>
    <col min="11790" max="11797" width="15.88671875" style="47" customWidth="1"/>
    <col min="11798" max="12032" width="9.109375" style="47"/>
    <col min="12033" max="12033" width="26.6640625" style="47" customWidth="1"/>
    <col min="12034" max="12035" width="18.6640625" style="47" customWidth="1"/>
    <col min="12036" max="12036" width="27.6640625" style="47" customWidth="1"/>
    <col min="12037" max="12037" width="15.6640625" style="47" customWidth="1"/>
    <col min="12038" max="12039" width="12.6640625" style="47" customWidth="1"/>
    <col min="12040" max="12040" width="17.6640625" style="47" customWidth="1"/>
    <col min="12041" max="12042" width="15.6640625" style="47" customWidth="1"/>
    <col min="12043" max="12045" width="18.6640625" style="47" customWidth="1"/>
    <col min="12046" max="12053" width="15.88671875" style="47" customWidth="1"/>
    <col min="12054" max="12288" width="9.109375" style="47"/>
    <col min="12289" max="12289" width="26.6640625" style="47" customWidth="1"/>
    <col min="12290" max="12291" width="18.6640625" style="47" customWidth="1"/>
    <col min="12292" max="12292" width="27.6640625" style="47" customWidth="1"/>
    <col min="12293" max="12293" width="15.6640625" style="47" customWidth="1"/>
    <col min="12294" max="12295" width="12.6640625" style="47" customWidth="1"/>
    <col min="12296" max="12296" width="17.6640625" style="47" customWidth="1"/>
    <col min="12297" max="12298" width="15.6640625" style="47" customWidth="1"/>
    <col min="12299" max="12301" width="18.6640625" style="47" customWidth="1"/>
    <col min="12302" max="12309" width="15.88671875" style="47" customWidth="1"/>
    <col min="12310" max="12544" width="9.109375" style="47"/>
    <col min="12545" max="12545" width="26.6640625" style="47" customWidth="1"/>
    <col min="12546" max="12547" width="18.6640625" style="47" customWidth="1"/>
    <col min="12548" max="12548" width="27.6640625" style="47" customWidth="1"/>
    <col min="12549" max="12549" width="15.6640625" style="47" customWidth="1"/>
    <col min="12550" max="12551" width="12.6640625" style="47" customWidth="1"/>
    <col min="12552" max="12552" width="17.6640625" style="47" customWidth="1"/>
    <col min="12553" max="12554" width="15.6640625" style="47" customWidth="1"/>
    <col min="12555" max="12557" width="18.6640625" style="47" customWidth="1"/>
    <col min="12558" max="12565" width="15.88671875" style="47" customWidth="1"/>
    <col min="12566" max="12800" width="9.109375" style="47"/>
    <col min="12801" max="12801" width="26.6640625" style="47" customWidth="1"/>
    <col min="12802" max="12803" width="18.6640625" style="47" customWidth="1"/>
    <col min="12804" max="12804" width="27.6640625" style="47" customWidth="1"/>
    <col min="12805" max="12805" width="15.6640625" style="47" customWidth="1"/>
    <col min="12806" max="12807" width="12.6640625" style="47" customWidth="1"/>
    <col min="12808" max="12808" width="17.6640625" style="47" customWidth="1"/>
    <col min="12809" max="12810" width="15.6640625" style="47" customWidth="1"/>
    <col min="12811" max="12813" width="18.6640625" style="47" customWidth="1"/>
    <col min="12814" max="12821" width="15.88671875" style="47" customWidth="1"/>
    <col min="12822" max="13056" width="9.109375" style="47"/>
    <col min="13057" max="13057" width="26.6640625" style="47" customWidth="1"/>
    <col min="13058" max="13059" width="18.6640625" style="47" customWidth="1"/>
    <col min="13060" max="13060" width="27.6640625" style="47" customWidth="1"/>
    <col min="13061" max="13061" width="15.6640625" style="47" customWidth="1"/>
    <col min="13062" max="13063" width="12.6640625" style="47" customWidth="1"/>
    <col min="13064" max="13064" width="17.6640625" style="47" customWidth="1"/>
    <col min="13065" max="13066" width="15.6640625" style="47" customWidth="1"/>
    <col min="13067" max="13069" width="18.6640625" style="47" customWidth="1"/>
    <col min="13070" max="13077" width="15.88671875" style="47" customWidth="1"/>
    <col min="13078" max="13312" width="9.109375" style="47"/>
    <col min="13313" max="13313" width="26.6640625" style="47" customWidth="1"/>
    <col min="13314" max="13315" width="18.6640625" style="47" customWidth="1"/>
    <col min="13316" max="13316" width="27.6640625" style="47" customWidth="1"/>
    <col min="13317" max="13317" width="15.6640625" style="47" customWidth="1"/>
    <col min="13318" max="13319" width="12.6640625" style="47" customWidth="1"/>
    <col min="13320" max="13320" width="17.6640625" style="47" customWidth="1"/>
    <col min="13321" max="13322" width="15.6640625" style="47" customWidth="1"/>
    <col min="13323" max="13325" width="18.6640625" style="47" customWidth="1"/>
    <col min="13326" max="13333" width="15.88671875" style="47" customWidth="1"/>
    <col min="13334" max="13568" width="9.109375" style="47"/>
    <col min="13569" max="13569" width="26.6640625" style="47" customWidth="1"/>
    <col min="13570" max="13571" width="18.6640625" style="47" customWidth="1"/>
    <col min="13572" max="13572" width="27.6640625" style="47" customWidth="1"/>
    <col min="13573" max="13573" width="15.6640625" style="47" customWidth="1"/>
    <col min="13574" max="13575" width="12.6640625" style="47" customWidth="1"/>
    <col min="13576" max="13576" width="17.6640625" style="47" customWidth="1"/>
    <col min="13577" max="13578" width="15.6640625" style="47" customWidth="1"/>
    <col min="13579" max="13581" width="18.6640625" style="47" customWidth="1"/>
    <col min="13582" max="13589" width="15.88671875" style="47" customWidth="1"/>
    <col min="13590" max="13824" width="9.109375" style="47"/>
    <col min="13825" max="13825" width="26.6640625" style="47" customWidth="1"/>
    <col min="13826" max="13827" width="18.6640625" style="47" customWidth="1"/>
    <col min="13828" max="13828" width="27.6640625" style="47" customWidth="1"/>
    <col min="13829" max="13829" width="15.6640625" style="47" customWidth="1"/>
    <col min="13830" max="13831" width="12.6640625" style="47" customWidth="1"/>
    <col min="13832" max="13832" width="17.6640625" style="47" customWidth="1"/>
    <col min="13833" max="13834" width="15.6640625" style="47" customWidth="1"/>
    <col min="13835" max="13837" width="18.6640625" style="47" customWidth="1"/>
    <col min="13838" max="13845" width="15.88671875" style="47" customWidth="1"/>
    <col min="13846" max="14080" width="9.109375" style="47"/>
    <col min="14081" max="14081" width="26.6640625" style="47" customWidth="1"/>
    <col min="14082" max="14083" width="18.6640625" style="47" customWidth="1"/>
    <col min="14084" max="14084" width="27.6640625" style="47" customWidth="1"/>
    <col min="14085" max="14085" width="15.6640625" style="47" customWidth="1"/>
    <col min="14086" max="14087" width="12.6640625" style="47" customWidth="1"/>
    <col min="14088" max="14088" width="17.6640625" style="47" customWidth="1"/>
    <col min="14089" max="14090" width="15.6640625" style="47" customWidth="1"/>
    <col min="14091" max="14093" width="18.6640625" style="47" customWidth="1"/>
    <col min="14094" max="14101" width="15.88671875" style="47" customWidth="1"/>
    <col min="14102" max="14336" width="9.109375" style="47"/>
    <col min="14337" max="14337" width="26.6640625" style="47" customWidth="1"/>
    <col min="14338" max="14339" width="18.6640625" style="47" customWidth="1"/>
    <col min="14340" max="14340" width="27.6640625" style="47" customWidth="1"/>
    <col min="14341" max="14341" width="15.6640625" style="47" customWidth="1"/>
    <col min="14342" max="14343" width="12.6640625" style="47" customWidth="1"/>
    <col min="14344" max="14344" width="17.6640625" style="47" customWidth="1"/>
    <col min="14345" max="14346" width="15.6640625" style="47" customWidth="1"/>
    <col min="14347" max="14349" width="18.6640625" style="47" customWidth="1"/>
    <col min="14350" max="14357" width="15.88671875" style="47" customWidth="1"/>
    <col min="14358" max="14592" width="9.109375" style="47"/>
    <col min="14593" max="14593" width="26.6640625" style="47" customWidth="1"/>
    <col min="14594" max="14595" width="18.6640625" style="47" customWidth="1"/>
    <col min="14596" max="14596" width="27.6640625" style="47" customWidth="1"/>
    <col min="14597" max="14597" width="15.6640625" style="47" customWidth="1"/>
    <col min="14598" max="14599" width="12.6640625" style="47" customWidth="1"/>
    <col min="14600" max="14600" width="17.6640625" style="47" customWidth="1"/>
    <col min="14601" max="14602" width="15.6640625" style="47" customWidth="1"/>
    <col min="14603" max="14605" width="18.6640625" style="47" customWidth="1"/>
    <col min="14606" max="14613" width="15.88671875" style="47" customWidth="1"/>
    <col min="14614" max="14848" width="9.109375" style="47"/>
    <col min="14849" max="14849" width="26.6640625" style="47" customWidth="1"/>
    <col min="14850" max="14851" width="18.6640625" style="47" customWidth="1"/>
    <col min="14852" max="14852" width="27.6640625" style="47" customWidth="1"/>
    <col min="14853" max="14853" width="15.6640625" style="47" customWidth="1"/>
    <col min="14854" max="14855" width="12.6640625" style="47" customWidth="1"/>
    <col min="14856" max="14856" width="17.6640625" style="47" customWidth="1"/>
    <col min="14857" max="14858" width="15.6640625" style="47" customWidth="1"/>
    <col min="14859" max="14861" width="18.6640625" style="47" customWidth="1"/>
    <col min="14862" max="14869" width="15.88671875" style="47" customWidth="1"/>
    <col min="14870" max="15104" width="9.109375" style="47"/>
    <col min="15105" max="15105" width="26.6640625" style="47" customWidth="1"/>
    <col min="15106" max="15107" width="18.6640625" style="47" customWidth="1"/>
    <col min="15108" max="15108" width="27.6640625" style="47" customWidth="1"/>
    <col min="15109" max="15109" width="15.6640625" style="47" customWidth="1"/>
    <col min="15110" max="15111" width="12.6640625" style="47" customWidth="1"/>
    <col min="15112" max="15112" width="17.6640625" style="47" customWidth="1"/>
    <col min="15113" max="15114" width="15.6640625" style="47" customWidth="1"/>
    <col min="15115" max="15117" width="18.6640625" style="47" customWidth="1"/>
    <col min="15118" max="15125" width="15.88671875" style="47" customWidth="1"/>
    <col min="15126" max="15360" width="9.109375" style="47"/>
    <col min="15361" max="15361" width="26.6640625" style="47" customWidth="1"/>
    <col min="15362" max="15363" width="18.6640625" style="47" customWidth="1"/>
    <col min="15364" max="15364" width="27.6640625" style="47" customWidth="1"/>
    <col min="15365" max="15365" width="15.6640625" style="47" customWidth="1"/>
    <col min="15366" max="15367" width="12.6640625" style="47" customWidth="1"/>
    <col min="15368" max="15368" width="17.6640625" style="47" customWidth="1"/>
    <col min="15369" max="15370" width="15.6640625" style="47" customWidth="1"/>
    <col min="15371" max="15373" width="18.6640625" style="47" customWidth="1"/>
    <col min="15374" max="15381" width="15.88671875" style="47" customWidth="1"/>
    <col min="15382" max="15616" width="9.109375" style="47"/>
    <col min="15617" max="15617" width="26.6640625" style="47" customWidth="1"/>
    <col min="15618" max="15619" width="18.6640625" style="47" customWidth="1"/>
    <col min="15620" max="15620" width="27.6640625" style="47" customWidth="1"/>
    <col min="15621" max="15621" width="15.6640625" style="47" customWidth="1"/>
    <col min="15622" max="15623" width="12.6640625" style="47" customWidth="1"/>
    <col min="15624" max="15624" width="17.6640625" style="47" customWidth="1"/>
    <col min="15625" max="15626" width="15.6640625" style="47" customWidth="1"/>
    <col min="15627" max="15629" width="18.6640625" style="47" customWidth="1"/>
    <col min="15630" max="15637" width="15.88671875" style="47" customWidth="1"/>
    <col min="15638" max="15872" width="9.109375" style="47"/>
    <col min="15873" max="15873" width="26.6640625" style="47" customWidth="1"/>
    <col min="15874" max="15875" width="18.6640625" style="47" customWidth="1"/>
    <col min="15876" max="15876" width="27.6640625" style="47" customWidth="1"/>
    <col min="15877" max="15877" width="15.6640625" style="47" customWidth="1"/>
    <col min="15878" max="15879" width="12.6640625" style="47" customWidth="1"/>
    <col min="15880" max="15880" width="17.6640625" style="47" customWidth="1"/>
    <col min="15881" max="15882" width="15.6640625" style="47" customWidth="1"/>
    <col min="15883" max="15885" width="18.6640625" style="47" customWidth="1"/>
    <col min="15886" max="15893" width="15.88671875" style="47" customWidth="1"/>
    <col min="15894" max="16128" width="9.109375" style="47"/>
    <col min="16129" max="16129" width="26.6640625" style="47" customWidth="1"/>
    <col min="16130" max="16131" width="18.6640625" style="47" customWidth="1"/>
    <col min="16132" max="16132" width="27.6640625" style="47" customWidth="1"/>
    <col min="16133" max="16133" width="15.6640625" style="47" customWidth="1"/>
    <col min="16134" max="16135" width="12.6640625" style="47" customWidth="1"/>
    <col min="16136" max="16136" width="17.6640625" style="47" customWidth="1"/>
    <col min="16137" max="16138" width="15.6640625" style="47" customWidth="1"/>
    <col min="16139" max="16141" width="18.6640625" style="47" customWidth="1"/>
    <col min="16142" max="16149" width="15.88671875" style="47" customWidth="1"/>
    <col min="16150" max="16384" width="9.109375" style="47"/>
  </cols>
  <sheetData>
    <row r="1" spans="1:21" ht="17.399999999999999" x14ac:dyDescent="0.25">
      <c r="A1" s="443" t="s">
        <v>60</v>
      </c>
      <c r="B1" s="444"/>
      <c r="C1" s="444"/>
      <c r="D1" s="444"/>
      <c r="E1" s="444"/>
      <c r="F1" s="444"/>
      <c r="G1" s="444"/>
      <c r="H1" s="444"/>
      <c r="I1" s="444"/>
      <c r="J1" s="445"/>
      <c r="K1" s="443" t="s">
        <v>60</v>
      </c>
      <c r="L1" s="444"/>
      <c r="M1" s="444"/>
      <c r="N1" s="444"/>
      <c r="O1" s="444"/>
      <c r="P1" s="444"/>
      <c r="Q1" s="444"/>
      <c r="R1" s="444"/>
      <c r="S1" s="444"/>
      <c r="T1" s="444"/>
      <c r="U1" s="445"/>
    </row>
    <row r="2" spans="1:21" ht="17.399999999999999" x14ac:dyDescent="0.25">
      <c r="A2" s="446" t="s">
        <v>190</v>
      </c>
      <c r="B2" s="447"/>
      <c r="C2" s="447"/>
      <c r="D2" s="447"/>
      <c r="E2" s="447"/>
      <c r="F2" s="447"/>
      <c r="G2" s="447"/>
      <c r="H2" s="447"/>
      <c r="I2" s="447"/>
      <c r="J2" s="448"/>
      <c r="K2" s="446" t="s">
        <v>191</v>
      </c>
      <c r="L2" s="447"/>
      <c r="M2" s="447"/>
      <c r="N2" s="447"/>
      <c r="O2" s="447"/>
      <c r="P2" s="447"/>
      <c r="Q2" s="447"/>
      <c r="R2" s="447"/>
      <c r="S2" s="447"/>
      <c r="T2" s="447"/>
      <c r="U2" s="448"/>
    </row>
    <row r="3" spans="1:21" x14ac:dyDescent="0.25">
      <c r="A3" s="48"/>
      <c r="B3" s="49"/>
      <c r="C3"/>
      <c r="D3" s="449" t="s">
        <v>214</v>
      </c>
      <c r="E3" s="449"/>
      <c r="F3" s="449"/>
      <c r="G3"/>
      <c r="H3" s="49"/>
      <c r="I3" s="49"/>
      <c r="J3" s="50"/>
      <c r="K3" s="48"/>
      <c r="L3" s="49"/>
      <c r="M3"/>
      <c r="N3" s="449" t="s">
        <v>214</v>
      </c>
      <c r="O3" s="449"/>
      <c r="P3" s="449"/>
      <c r="Q3" s="449"/>
      <c r="R3"/>
      <c r="S3"/>
      <c r="T3" s="49"/>
      <c r="U3" s="50"/>
    </row>
    <row r="4" spans="1:21" x14ac:dyDescent="0.25">
      <c r="A4" s="51"/>
      <c r="B4" s="52"/>
      <c r="C4" s="52"/>
      <c r="D4" s="52"/>
      <c r="E4" s="52"/>
      <c r="F4" s="450" t="s">
        <v>70</v>
      </c>
      <c r="G4" s="450"/>
      <c r="H4" s="450"/>
      <c r="I4" s="450"/>
      <c r="J4" s="451"/>
      <c r="K4" s="53"/>
      <c r="L4" s="54"/>
      <c r="M4" s="54"/>
      <c r="N4" s="54"/>
      <c r="O4" s="54"/>
      <c r="P4" s="54"/>
      <c r="Q4" s="54"/>
      <c r="R4" s="54"/>
      <c r="S4" s="54"/>
      <c r="T4" s="54"/>
      <c r="U4" s="55"/>
    </row>
    <row r="5" spans="1:21" ht="15" customHeight="1" x14ac:dyDescent="0.25">
      <c r="A5" s="56" t="s">
        <v>71</v>
      </c>
      <c r="B5" s="452" t="s">
        <v>72</v>
      </c>
      <c r="C5" s="453"/>
      <c r="D5" s="57" t="s">
        <v>73</v>
      </c>
      <c r="E5" s="58"/>
      <c r="F5" s="57" t="s">
        <v>74</v>
      </c>
      <c r="G5" s="59"/>
      <c r="H5" s="171" t="s">
        <v>75</v>
      </c>
      <c r="I5" s="60" t="s">
        <v>70</v>
      </c>
      <c r="J5" s="60"/>
      <c r="K5" s="56" t="s">
        <v>71</v>
      </c>
      <c r="L5" s="454" t="s">
        <v>72</v>
      </c>
      <c r="M5" s="455"/>
      <c r="N5" s="57" t="s">
        <v>76</v>
      </c>
      <c r="O5" s="59"/>
      <c r="P5" s="456" t="s">
        <v>215</v>
      </c>
      <c r="Q5" s="457"/>
      <c r="R5" s="457"/>
      <c r="S5" s="457"/>
      <c r="T5" s="457"/>
      <c r="U5" s="458"/>
    </row>
    <row r="6" spans="1:21" x14ac:dyDescent="0.25">
      <c r="A6" s="61" t="s">
        <v>77</v>
      </c>
      <c r="B6" s="465" t="s">
        <v>139</v>
      </c>
      <c r="C6" s="466"/>
      <c r="D6" s="62" t="s">
        <v>79</v>
      </c>
      <c r="E6" s="63">
        <v>0.98300299999999996</v>
      </c>
      <c r="F6" s="64" t="s">
        <v>194</v>
      </c>
      <c r="G6" s="65"/>
      <c r="H6" s="66">
        <v>72.61298468909952</v>
      </c>
      <c r="I6" s="67" t="s">
        <v>70</v>
      </c>
      <c r="J6" s="68"/>
      <c r="K6" s="61" t="s">
        <v>77</v>
      </c>
      <c r="L6" s="467" t="s">
        <v>139</v>
      </c>
      <c r="M6" s="468"/>
      <c r="N6" s="69">
        <v>19814</v>
      </c>
      <c r="O6" s="70"/>
      <c r="P6" s="459"/>
      <c r="Q6" s="460"/>
      <c r="R6" s="460"/>
      <c r="S6" s="460"/>
      <c r="T6" s="460"/>
      <c r="U6" s="461"/>
    </row>
    <row r="7" spans="1:21" x14ac:dyDescent="0.25">
      <c r="A7" s="61" t="s">
        <v>80</v>
      </c>
      <c r="B7" s="469" t="s">
        <v>140</v>
      </c>
      <c r="C7" s="468"/>
      <c r="D7" s="71" t="s">
        <v>82</v>
      </c>
      <c r="E7" s="72">
        <v>423.40640000000002</v>
      </c>
      <c r="F7" s="64" t="s">
        <v>195</v>
      </c>
      <c r="G7" s="65"/>
      <c r="H7" s="73">
        <v>56.90453644168899</v>
      </c>
      <c r="I7" s="74" t="s">
        <v>70</v>
      </c>
      <c r="J7" s="75"/>
      <c r="K7" s="76" t="s">
        <v>80</v>
      </c>
      <c r="L7" s="470" t="s">
        <v>140</v>
      </c>
      <c r="M7" s="471"/>
      <c r="N7" s="57"/>
      <c r="O7" s="59"/>
      <c r="P7" s="462"/>
      <c r="Q7" s="463"/>
      <c r="R7" s="463"/>
      <c r="S7" s="463"/>
      <c r="T7" s="463"/>
      <c r="U7" s="464"/>
    </row>
    <row r="8" spans="1:21" ht="15.6" x14ac:dyDescent="0.3">
      <c r="A8" s="61" t="s">
        <v>83</v>
      </c>
      <c r="B8" s="478" t="s">
        <v>196</v>
      </c>
      <c r="C8" s="479"/>
      <c r="D8" s="71" t="s">
        <v>84</v>
      </c>
      <c r="E8" s="72">
        <v>829.87654399999997</v>
      </c>
      <c r="F8" s="64"/>
      <c r="G8" s="65"/>
      <c r="H8" s="60" t="s">
        <v>85</v>
      </c>
      <c r="I8" s="77" t="s">
        <v>70</v>
      </c>
      <c r="J8" s="60" t="s">
        <v>86</v>
      </c>
      <c r="K8" s="78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15.6" x14ac:dyDescent="0.25">
      <c r="A9" s="61" t="s">
        <v>87</v>
      </c>
      <c r="B9" s="478" t="s">
        <v>88</v>
      </c>
      <c r="C9" s="479"/>
      <c r="D9" s="71" t="s">
        <v>89</v>
      </c>
      <c r="E9" s="81">
        <v>19814</v>
      </c>
      <c r="F9" s="64" t="s">
        <v>90</v>
      </c>
      <c r="G9" s="65"/>
      <c r="H9" s="73">
        <v>65.239999999999995</v>
      </c>
      <c r="I9" s="82">
        <v>41645</v>
      </c>
      <c r="J9" s="83">
        <v>17430</v>
      </c>
      <c r="K9" s="480" t="s">
        <v>91</v>
      </c>
      <c r="L9" s="481"/>
      <c r="M9" s="481"/>
      <c r="N9" s="481"/>
      <c r="O9" s="481"/>
      <c r="P9" s="481"/>
      <c r="Q9" s="481"/>
      <c r="R9" s="481"/>
      <c r="S9" s="481"/>
      <c r="T9" s="481"/>
      <c r="U9" s="482"/>
    </row>
    <row r="10" spans="1:21" x14ac:dyDescent="0.25">
      <c r="A10" s="61" t="s">
        <v>92</v>
      </c>
      <c r="B10" s="469" t="s">
        <v>173</v>
      </c>
      <c r="C10" s="468"/>
      <c r="D10" s="71" t="s">
        <v>94</v>
      </c>
      <c r="E10" s="72">
        <v>0</v>
      </c>
      <c r="F10" s="84" t="s">
        <v>95</v>
      </c>
      <c r="G10" s="85"/>
      <c r="H10" s="86">
        <v>65.239999999999995</v>
      </c>
      <c r="I10" s="87">
        <v>41645</v>
      </c>
      <c r="J10" s="88">
        <v>17430</v>
      </c>
      <c r="K10" s="89"/>
      <c r="L10" s="90" t="s">
        <v>96</v>
      </c>
      <c r="M10" s="91"/>
      <c r="N10" s="90" t="s">
        <v>97</v>
      </c>
      <c r="O10" s="91"/>
      <c r="P10" s="90" t="s">
        <v>98</v>
      </c>
      <c r="Q10" s="91"/>
      <c r="R10" s="90" t="s">
        <v>99</v>
      </c>
      <c r="S10" s="91"/>
      <c r="T10" s="90" t="s">
        <v>100</v>
      </c>
      <c r="U10" s="92"/>
    </row>
    <row r="11" spans="1:21" ht="15" customHeight="1" x14ac:dyDescent="0.25">
      <c r="A11" s="483" t="s">
        <v>216</v>
      </c>
      <c r="B11" s="484"/>
      <c r="C11" s="485"/>
      <c r="D11" s="93" t="s">
        <v>101</v>
      </c>
      <c r="E11" s="94">
        <v>19814</v>
      </c>
      <c r="F11" s="57" t="s">
        <v>102</v>
      </c>
      <c r="G11" s="59"/>
      <c r="H11" s="171" t="s">
        <v>103</v>
      </c>
      <c r="I11" s="60" t="s">
        <v>104</v>
      </c>
      <c r="J11" s="60" t="s">
        <v>105</v>
      </c>
      <c r="K11" s="95" t="s">
        <v>106</v>
      </c>
      <c r="L11" s="171" t="s">
        <v>107</v>
      </c>
      <c r="M11" s="171" t="s">
        <v>48</v>
      </c>
      <c r="N11" s="171" t="s">
        <v>107</v>
      </c>
      <c r="O11" s="171" t="s">
        <v>48</v>
      </c>
      <c r="P11" s="171" t="s">
        <v>107</v>
      </c>
      <c r="Q11" s="171" t="s">
        <v>48</v>
      </c>
      <c r="R11" s="171" t="s">
        <v>107</v>
      </c>
      <c r="S11" s="171" t="s">
        <v>48</v>
      </c>
      <c r="T11" s="171" t="s">
        <v>107</v>
      </c>
      <c r="U11" s="171" t="s">
        <v>48</v>
      </c>
    </row>
    <row r="12" spans="1:21" x14ac:dyDescent="0.25">
      <c r="A12" s="486"/>
      <c r="B12" s="487"/>
      <c r="C12" s="488"/>
      <c r="D12" s="58" t="s">
        <v>108</v>
      </c>
      <c r="E12" s="96"/>
      <c r="F12" s="56" t="s">
        <v>109</v>
      </c>
      <c r="G12" s="56"/>
      <c r="H12" s="97">
        <v>1208646.9068918093</v>
      </c>
      <c r="I12" s="97">
        <v>0</v>
      </c>
      <c r="J12" s="97">
        <v>1208646.9068918093</v>
      </c>
      <c r="K12" s="61" t="s">
        <v>62</v>
      </c>
      <c r="L12" s="98">
        <v>932.99999999999966</v>
      </c>
      <c r="M12" s="99">
        <v>258459.46960841271</v>
      </c>
      <c r="N12" s="98">
        <v>1026.2999999999993</v>
      </c>
      <c r="O12" s="99">
        <v>280771.6625211403</v>
      </c>
      <c r="P12" s="98">
        <v>1119.6000000000004</v>
      </c>
      <c r="Q12" s="99">
        <v>303083.85543386795</v>
      </c>
      <c r="R12" s="98">
        <v>839.70000000000016</v>
      </c>
      <c r="S12" s="99">
        <v>236147.2766956852</v>
      </c>
      <c r="T12" s="98">
        <v>746.40000000000032</v>
      </c>
      <c r="U12" s="99">
        <v>213835.08378295746</v>
      </c>
    </row>
    <row r="13" spans="1:21" x14ac:dyDescent="0.25">
      <c r="A13" s="486"/>
      <c r="B13" s="487"/>
      <c r="C13" s="488"/>
      <c r="D13" s="100" t="s">
        <v>110</v>
      </c>
      <c r="E13" s="99">
        <f>+E31</f>
        <v>20000</v>
      </c>
      <c r="F13" s="65" t="s">
        <v>111</v>
      </c>
      <c r="G13" s="61"/>
      <c r="H13" s="101">
        <v>944282.7072747997</v>
      </c>
      <c r="I13" s="101">
        <v>0</v>
      </c>
      <c r="J13" s="101">
        <v>944282.7072747997</v>
      </c>
      <c r="K13" s="61" t="s">
        <v>63</v>
      </c>
      <c r="L13" s="81">
        <v>732.00000000000023</v>
      </c>
      <c r="M13" s="72">
        <v>201741.00217962617</v>
      </c>
      <c r="N13" s="81">
        <v>805.20000000000039</v>
      </c>
      <c r="O13" s="72">
        <v>219298.35670985555</v>
      </c>
      <c r="P13" s="81">
        <v>878.4000000000002</v>
      </c>
      <c r="Q13" s="72">
        <v>236855.71124008493</v>
      </c>
      <c r="R13" s="81">
        <v>658.80000000000018</v>
      </c>
      <c r="S13" s="72">
        <v>184183.64764939676</v>
      </c>
      <c r="T13" s="81">
        <v>585.59999999999991</v>
      </c>
      <c r="U13" s="72">
        <v>166626.29311916736</v>
      </c>
    </row>
    <row r="14" spans="1:21" ht="15" customHeight="1" x14ac:dyDescent="0.25">
      <c r="A14" s="486"/>
      <c r="B14" s="487"/>
      <c r="C14" s="488"/>
      <c r="D14" s="102" t="s">
        <v>112</v>
      </c>
      <c r="E14" s="72">
        <f>+E13-E11</f>
        <v>186</v>
      </c>
      <c r="F14" s="492" t="s">
        <v>217</v>
      </c>
      <c r="G14" s="484"/>
      <c r="H14" s="484"/>
      <c r="I14" s="484"/>
      <c r="J14" s="485"/>
      <c r="K14" s="61" t="s">
        <v>64</v>
      </c>
      <c r="L14" s="81">
        <v>538</v>
      </c>
      <c r="M14" s="72">
        <v>150023.32112451177</v>
      </c>
      <c r="N14" s="81">
        <v>591.79999999999984</v>
      </c>
      <c r="O14" s="72">
        <v>162963.57085347406</v>
      </c>
      <c r="P14" s="81">
        <v>645.59999999999991</v>
      </c>
      <c r="Q14" s="72">
        <v>175903.82058243637</v>
      </c>
      <c r="R14" s="81">
        <v>484.2</v>
      </c>
      <c r="S14" s="72">
        <v>137083.07139554946</v>
      </c>
      <c r="T14" s="81">
        <v>430.39999999999992</v>
      </c>
      <c r="U14" s="72">
        <v>124142.8216665871</v>
      </c>
    </row>
    <row r="15" spans="1:21" x14ac:dyDescent="0.25">
      <c r="A15" s="486"/>
      <c r="B15" s="487"/>
      <c r="C15" s="488"/>
      <c r="D15" s="102" t="s">
        <v>113</v>
      </c>
      <c r="E15" s="103">
        <f>+E14/E11</f>
        <v>9.3873019077420003E-3</v>
      </c>
      <c r="F15" s="486"/>
      <c r="G15" s="487"/>
      <c r="H15" s="487"/>
      <c r="I15" s="487"/>
      <c r="J15" s="488"/>
      <c r="K15" s="61" t="s">
        <v>34</v>
      </c>
      <c r="L15" s="81">
        <v>246</v>
      </c>
      <c r="M15" s="72">
        <v>73691.863807068381</v>
      </c>
      <c r="N15" s="81">
        <v>270.60000000000014</v>
      </c>
      <c r="O15" s="72">
        <v>80127.338087729106</v>
      </c>
      <c r="P15" s="81">
        <v>295.20000000000005</v>
      </c>
      <c r="Q15" s="72">
        <v>86562.81236838983</v>
      </c>
      <c r="R15" s="81">
        <v>221.40000000000006</v>
      </c>
      <c r="S15" s="72">
        <v>67256.389526407685</v>
      </c>
      <c r="T15" s="81">
        <v>196.79999999999998</v>
      </c>
      <c r="U15" s="72">
        <v>60820.915245746997</v>
      </c>
    </row>
    <row r="16" spans="1:21" x14ac:dyDescent="0.25">
      <c r="A16" s="489"/>
      <c r="B16" s="490"/>
      <c r="C16" s="491"/>
      <c r="D16" s="104"/>
      <c r="E16" s="105"/>
      <c r="F16" s="489"/>
      <c r="G16" s="490"/>
      <c r="H16" s="490"/>
      <c r="I16" s="490"/>
      <c r="J16" s="491"/>
      <c r="K16" s="61" t="s">
        <v>35</v>
      </c>
      <c r="L16" s="81">
        <v>66.999999999999972</v>
      </c>
      <c r="M16" s="72">
        <v>37615.639593901236</v>
      </c>
      <c r="N16" s="81">
        <v>73.699999999999918</v>
      </c>
      <c r="O16" s="72">
        <v>39387.807558516593</v>
      </c>
      <c r="P16" s="81">
        <v>80.400000000000048</v>
      </c>
      <c r="Q16" s="72">
        <v>41159.975523131943</v>
      </c>
      <c r="R16" s="81">
        <v>60.30000000000004</v>
      </c>
      <c r="S16" s="72">
        <v>35843.471629285894</v>
      </c>
      <c r="T16" s="81">
        <v>53.600000000000009</v>
      </c>
      <c r="U16" s="72">
        <v>34071.303664670559</v>
      </c>
    </row>
    <row r="17" spans="1:21" x14ac:dyDescent="0.25">
      <c r="A17" s="2"/>
      <c r="B17" s="3"/>
      <c r="C17" s="3"/>
      <c r="D17" s="3"/>
      <c r="E17" s="106"/>
      <c r="F17" s="107"/>
      <c r="G17" s="3"/>
      <c r="H17" s="3"/>
      <c r="I17" s="3"/>
      <c r="J17" s="4"/>
      <c r="K17" s="61" t="s">
        <v>36</v>
      </c>
      <c r="L17" s="81">
        <v>4.9999999999999956</v>
      </c>
      <c r="M17" s="72">
        <v>23755.268525495801</v>
      </c>
      <c r="N17" s="81">
        <v>5.4999999999999929</v>
      </c>
      <c r="O17" s="72">
        <v>23894.783623839132</v>
      </c>
      <c r="P17" s="81">
        <v>6.0000000000000018</v>
      </c>
      <c r="Q17" s="72">
        <v>24034.298722182466</v>
      </c>
      <c r="R17" s="81">
        <v>4.4999999999999982</v>
      </c>
      <c r="S17" s="72">
        <v>23615.753427152464</v>
      </c>
      <c r="T17" s="81">
        <v>3.9999999999999996</v>
      </c>
      <c r="U17" s="72">
        <v>23476.238328809122</v>
      </c>
    </row>
    <row r="18" spans="1:21" ht="15.6" x14ac:dyDescent="0.3">
      <c r="A18" s="493" t="s">
        <v>114</v>
      </c>
      <c r="B18" s="494"/>
      <c r="C18" s="494"/>
      <c r="D18" s="494"/>
      <c r="E18" s="494"/>
      <c r="F18" s="494"/>
      <c r="G18" s="494"/>
      <c r="H18" s="494"/>
      <c r="I18" s="494"/>
      <c r="J18" s="495"/>
      <c r="K18" s="61" t="s">
        <v>37</v>
      </c>
      <c r="L18" s="81">
        <v>0</v>
      </c>
      <c r="M18" s="72">
        <v>22374.517668917855</v>
      </c>
      <c r="N18" s="81">
        <v>0</v>
      </c>
      <c r="O18" s="72">
        <v>22376.077455099108</v>
      </c>
      <c r="P18" s="81">
        <v>0</v>
      </c>
      <c r="Q18" s="72">
        <v>22377.63724128035</v>
      </c>
      <c r="R18" s="81">
        <v>0</v>
      </c>
      <c r="S18" s="72">
        <v>22372.957882736609</v>
      </c>
      <c r="T18" s="81">
        <v>0</v>
      </c>
      <c r="U18" s="72">
        <v>22371.398096555364</v>
      </c>
    </row>
    <row r="19" spans="1:21" x14ac:dyDescent="0.25">
      <c r="A19" s="60" t="s">
        <v>67</v>
      </c>
      <c r="B19" s="472" t="s">
        <v>115</v>
      </c>
      <c r="C19" s="473"/>
      <c r="D19" s="474"/>
      <c r="E19" s="60" t="s">
        <v>116</v>
      </c>
      <c r="F19" s="472" t="s">
        <v>117</v>
      </c>
      <c r="G19" s="475"/>
      <c r="H19" s="476"/>
      <c r="I19" s="476"/>
      <c r="J19" s="477"/>
      <c r="K19" s="61" t="s">
        <v>38</v>
      </c>
      <c r="L19" s="81">
        <v>0</v>
      </c>
      <c r="M19" s="72">
        <v>22973.134379583084</v>
      </c>
      <c r="N19" s="81">
        <v>0</v>
      </c>
      <c r="O19" s="72">
        <v>22973.134379583098</v>
      </c>
      <c r="P19" s="81">
        <v>0</v>
      </c>
      <c r="Q19" s="72">
        <v>22973.134379583113</v>
      </c>
      <c r="R19" s="81">
        <v>0</v>
      </c>
      <c r="S19" s="72">
        <v>22973.134379583076</v>
      </c>
      <c r="T19" s="81">
        <v>0</v>
      </c>
      <c r="U19" s="72">
        <v>22973.134379583062</v>
      </c>
    </row>
    <row r="20" spans="1:21" x14ac:dyDescent="0.25">
      <c r="A20" s="108" t="s">
        <v>119</v>
      </c>
      <c r="B20" s="109" t="s">
        <v>174</v>
      </c>
      <c r="C20" s="110"/>
      <c r="D20" s="111"/>
      <c r="E20" s="72">
        <v>5000</v>
      </c>
      <c r="F20" s="112" t="s">
        <v>175</v>
      </c>
      <c r="G20" s="112"/>
      <c r="H20" s="112"/>
      <c r="I20" s="112"/>
      <c r="J20" s="113"/>
      <c r="K20" s="61" t="s">
        <v>39</v>
      </c>
      <c r="L20" s="81">
        <v>29.999999999999993</v>
      </c>
      <c r="M20" s="72">
        <v>28562.468719029705</v>
      </c>
      <c r="N20" s="81">
        <v>33</v>
      </c>
      <c r="O20" s="72">
        <v>29301.407639321995</v>
      </c>
      <c r="P20" s="81">
        <v>36.000000000000007</v>
      </c>
      <c r="Q20" s="72">
        <v>30040.346559614278</v>
      </c>
      <c r="R20" s="81">
        <v>27.000000000000007</v>
      </c>
      <c r="S20" s="72">
        <v>27823.529798737422</v>
      </c>
      <c r="T20" s="81">
        <v>24.000000000000004</v>
      </c>
      <c r="U20" s="72">
        <v>27084.590878445139</v>
      </c>
    </row>
    <row r="21" spans="1:21" x14ac:dyDescent="0.25">
      <c r="A21" s="114" t="s">
        <v>119</v>
      </c>
      <c r="B21" s="115" t="s">
        <v>176</v>
      </c>
      <c r="C21" s="116"/>
      <c r="D21" s="117"/>
      <c r="E21" s="72">
        <v>13500</v>
      </c>
      <c r="F21" s="112" t="s">
        <v>170</v>
      </c>
      <c r="G21" s="112"/>
      <c r="H21" s="112"/>
      <c r="I21" s="112"/>
      <c r="J21" s="113"/>
      <c r="K21" s="61" t="s">
        <v>40</v>
      </c>
      <c r="L21" s="81">
        <v>212</v>
      </c>
      <c r="M21" s="72">
        <v>55391.30692301361</v>
      </c>
      <c r="N21" s="81">
        <v>233.20000000000005</v>
      </c>
      <c r="O21" s="72">
        <v>60771.770653560103</v>
      </c>
      <c r="P21" s="81">
        <v>254.40000000000003</v>
      </c>
      <c r="Q21" s="72">
        <v>66152.234384106589</v>
      </c>
      <c r="R21" s="81">
        <v>190.79999999999998</v>
      </c>
      <c r="S21" s="72">
        <v>50010.843192467124</v>
      </c>
      <c r="T21" s="81">
        <v>169.6</v>
      </c>
      <c r="U21" s="72">
        <v>44630.379461920638</v>
      </c>
    </row>
    <row r="22" spans="1:21" x14ac:dyDescent="0.25">
      <c r="A22" s="160" t="s">
        <v>119</v>
      </c>
      <c r="B22" s="161" t="s">
        <v>208</v>
      </c>
      <c r="C22" s="145"/>
      <c r="D22" s="162"/>
      <c r="E22" s="176">
        <v>1500</v>
      </c>
      <c r="F22" s="174" t="s">
        <v>218</v>
      </c>
      <c r="G22" s="174"/>
      <c r="H22" s="145"/>
      <c r="I22" s="145"/>
      <c r="J22" s="163"/>
      <c r="K22" s="61" t="s">
        <v>65</v>
      </c>
      <c r="L22" s="81">
        <v>493.00000000000023</v>
      </c>
      <c r="M22" s="72">
        <v>121680.08920275042</v>
      </c>
      <c r="N22" s="81">
        <v>542.29999999999995</v>
      </c>
      <c r="O22" s="72">
        <v>133383.05026162736</v>
      </c>
      <c r="P22" s="81">
        <v>591.60000000000014</v>
      </c>
      <c r="Q22" s="72">
        <v>145086.01132050427</v>
      </c>
      <c r="R22" s="81">
        <v>443.70000000000016</v>
      </c>
      <c r="S22" s="72">
        <v>109977.12814387349</v>
      </c>
      <c r="T22" s="81">
        <v>394.39999999999986</v>
      </c>
      <c r="U22" s="72">
        <v>98274.167084996559</v>
      </c>
    </row>
    <row r="23" spans="1:21" x14ac:dyDescent="0.25">
      <c r="A23" s="114"/>
      <c r="B23" s="115"/>
      <c r="C23" s="116"/>
      <c r="D23" s="117"/>
      <c r="E23" s="72"/>
      <c r="F23" s="112"/>
      <c r="G23" s="112"/>
      <c r="H23" s="112"/>
      <c r="I23" s="112"/>
      <c r="J23" s="113"/>
      <c r="K23" s="61" t="s">
        <v>66</v>
      </c>
      <c r="L23" s="81">
        <v>840.99999999999943</v>
      </c>
      <c r="M23" s="72">
        <v>212378.82515949878</v>
      </c>
      <c r="N23" s="81">
        <v>925.10000000000025</v>
      </c>
      <c r="O23" s="72">
        <v>232419.61353730899</v>
      </c>
      <c r="P23" s="81">
        <v>1009.1999999999994</v>
      </c>
      <c r="Q23" s="72">
        <v>252460.40191511926</v>
      </c>
      <c r="R23" s="81">
        <v>756.90000000000009</v>
      </c>
      <c r="S23" s="72">
        <v>192338.03678168863</v>
      </c>
      <c r="T23" s="81">
        <v>672.8</v>
      </c>
      <c r="U23" s="72">
        <v>172297.24840387842</v>
      </c>
    </row>
    <row r="24" spans="1:21" x14ac:dyDescent="0.25">
      <c r="A24" s="114"/>
      <c r="B24" s="115"/>
      <c r="C24" s="116"/>
      <c r="D24" s="117"/>
      <c r="E24" s="72"/>
      <c r="F24" s="112"/>
      <c r="G24" s="112"/>
      <c r="H24" s="112"/>
      <c r="I24" s="112"/>
      <c r="J24" s="113"/>
      <c r="K24" s="118" t="s">
        <v>121</v>
      </c>
      <c r="L24" s="119">
        <v>4096.9999999999991</v>
      </c>
      <c r="M24" s="119">
        <v>1208646.9068918093</v>
      </c>
      <c r="N24" s="119">
        <v>4506.7</v>
      </c>
      <c r="O24" s="119">
        <v>1307668.5732810553</v>
      </c>
      <c r="P24" s="119">
        <v>4916.3999999999996</v>
      </c>
      <c r="Q24" s="119">
        <v>1406690.2396703013</v>
      </c>
      <c r="R24" s="119">
        <v>3687.3000000000011</v>
      </c>
      <c r="S24" s="119">
        <v>1109625.2405025638</v>
      </c>
      <c r="T24" s="119">
        <v>3277.6000000000004</v>
      </c>
      <c r="U24" s="119">
        <v>1010603.5741133179</v>
      </c>
    </row>
    <row r="25" spans="1:21" x14ac:dyDescent="0.25">
      <c r="A25" s="114"/>
      <c r="B25" s="115"/>
      <c r="C25" s="116"/>
      <c r="D25" s="117"/>
      <c r="E25" s="72"/>
      <c r="F25" s="112"/>
      <c r="G25" s="112"/>
      <c r="H25" s="112"/>
      <c r="I25" s="112"/>
      <c r="J25" s="113"/>
      <c r="K25" s="118" t="s">
        <v>122</v>
      </c>
      <c r="L25" s="119">
        <v>3536.9999999999995</v>
      </c>
      <c r="M25" s="119">
        <v>944282.7072747997</v>
      </c>
      <c r="N25" s="119">
        <v>3890.7</v>
      </c>
      <c r="O25" s="119">
        <v>1028836.2538834063</v>
      </c>
      <c r="P25" s="119">
        <v>4244.3999999999996</v>
      </c>
      <c r="Q25" s="119">
        <v>1113389.8004920129</v>
      </c>
      <c r="R25" s="119">
        <v>3183.3000000000006</v>
      </c>
      <c r="S25" s="119">
        <v>859729.16066619358</v>
      </c>
      <c r="T25" s="119">
        <v>2829.6000000000004</v>
      </c>
      <c r="U25" s="119">
        <v>775175.61405758688</v>
      </c>
    </row>
    <row r="26" spans="1:21" x14ac:dyDescent="0.25">
      <c r="A26" s="114"/>
      <c r="B26" s="115"/>
      <c r="C26" s="116"/>
      <c r="D26" s="117"/>
      <c r="E26" s="72"/>
      <c r="F26" s="112"/>
      <c r="G26" s="112"/>
      <c r="H26" s="112"/>
      <c r="I26" s="112"/>
      <c r="J26" s="113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2"/>
    </row>
    <row r="27" spans="1:21" ht="15.6" x14ac:dyDescent="0.25">
      <c r="A27" s="114"/>
      <c r="B27" s="115"/>
      <c r="C27" s="116"/>
      <c r="D27" s="117"/>
      <c r="E27" s="72"/>
      <c r="F27" s="112"/>
      <c r="G27" s="112"/>
      <c r="H27" s="112"/>
      <c r="I27" s="112"/>
      <c r="J27" s="113"/>
      <c r="K27" s="480" t="s">
        <v>123</v>
      </c>
      <c r="L27" s="481"/>
      <c r="M27" s="481"/>
      <c r="N27" s="481"/>
      <c r="O27" s="481"/>
      <c r="P27" s="481"/>
      <c r="Q27" s="481"/>
      <c r="R27" s="481"/>
      <c r="S27" s="481"/>
      <c r="T27" s="481"/>
      <c r="U27" s="482"/>
    </row>
    <row r="28" spans="1:21" x14ac:dyDescent="0.25">
      <c r="A28" s="114"/>
      <c r="B28" s="115"/>
      <c r="C28" s="116"/>
      <c r="D28" s="117"/>
      <c r="E28" s="72"/>
      <c r="F28" s="112"/>
      <c r="G28" s="112"/>
      <c r="H28" s="112"/>
      <c r="I28" s="112"/>
      <c r="J28" s="113"/>
      <c r="K28" s="89"/>
      <c r="L28" s="90" t="s">
        <v>96</v>
      </c>
      <c r="M28" s="91"/>
      <c r="N28" s="90" t="s">
        <v>97</v>
      </c>
      <c r="O28" s="91"/>
      <c r="P28" s="90" t="s">
        <v>98</v>
      </c>
      <c r="Q28" s="91"/>
      <c r="R28" s="90" t="s">
        <v>99</v>
      </c>
      <c r="S28" s="91"/>
      <c r="T28" s="90" t="s">
        <v>100</v>
      </c>
      <c r="U28" s="92"/>
    </row>
    <row r="29" spans="1:21" x14ac:dyDescent="0.25">
      <c r="A29" s="114"/>
      <c r="B29" s="115"/>
      <c r="C29" s="116"/>
      <c r="D29" s="117"/>
      <c r="E29" s="72"/>
      <c r="F29" s="112"/>
      <c r="G29" s="112"/>
      <c r="H29" s="112"/>
      <c r="I29" s="112"/>
      <c r="J29" s="113"/>
      <c r="K29" s="95" t="s">
        <v>106</v>
      </c>
      <c r="L29" s="171" t="s">
        <v>107</v>
      </c>
      <c r="M29" s="171" t="s">
        <v>48</v>
      </c>
      <c r="N29" s="171" t="s">
        <v>107</v>
      </c>
      <c r="O29" s="171" t="s">
        <v>48</v>
      </c>
      <c r="P29" s="171" t="s">
        <v>107</v>
      </c>
      <c r="Q29" s="171" t="s">
        <v>48</v>
      </c>
      <c r="R29" s="171" t="s">
        <v>107</v>
      </c>
      <c r="S29" s="171" t="s">
        <v>48</v>
      </c>
      <c r="T29" s="171" t="s">
        <v>107</v>
      </c>
      <c r="U29" s="171" t="s">
        <v>48</v>
      </c>
    </row>
    <row r="30" spans="1:21" x14ac:dyDescent="0.25">
      <c r="A30" s="123"/>
      <c r="B30" s="124"/>
      <c r="C30" s="125"/>
      <c r="D30" s="126"/>
      <c r="E30" s="127"/>
      <c r="F30" s="112"/>
      <c r="G30" s="112"/>
      <c r="H30" s="112"/>
      <c r="I30" s="112"/>
      <c r="J30" s="113"/>
      <c r="K30" s="61" t="s">
        <v>62</v>
      </c>
      <c r="L30" s="98">
        <v>932.99999999999966</v>
      </c>
      <c r="M30" s="99">
        <v>0</v>
      </c>
      <c r="N30" s="98">
        <v>1026.2999999999993</v>
      </c>
      <c r="O30" s="99">
        <v>0</v>
      </c>
      <c r="P30" s="98">
        <v>1119.6000000000004</v>
      </c>
      <c r="Q30" s="99">
        <v>0</v>
      </c>
      <c r="R30" s="98">
        <v>839.70000000000016</v>
      </c>
      <c r="S30" s="99">
        <v>0</v>
      </c>
      <c r="T30" s="98">
        <v>746.40000000000032</v>
      </c>
      <c r="U30" s="99">
        <v>0</v>
      </c>
    </row>
    <row r="31" spans="1:21" x14ac:dyDescent="0.25">
      <c r="A31" s="128"/>
      <c r="B31" s="129"/>
      <c r="C31" s="129"/>
      <c r="D31" s="129" t="s">
        <v>124</v>
      </c>
      <c r="E31" s="130">
        <f>SUM(E20:E30)</f>
        <v>20000</v>
      </c>
      <c r="F31" s="131"/>
      <c r="G31" s="131"/>
      <c r="H31" s="131"/>
      <c r="I31" s="131"/>
      <c r="J31" s="132"/>
      <c r="K31" s="61" t="s">
        <v>63</v>
      </c>
      <c r="L31" s="81">
        <v>732.00000000000023</v>
      </c>
      <c r="M31" s="72">
        <v>0</v>
      </c>
      <c r="N31" s="81">
        <v>805.20000000000039</v>
      </c>
      <c r="O31" s="72">
        <v>0</v>
      </c>
      <c r="P31" s="81">
        <v>878.4000000000002</v>
      </c>
      <c r="Q31" s="72">
        <v>0</v>
      </c>
      <c r="R31" s="81">
        <v>658.80000000000018</v>
      </c>
      <c r="S31" s="72">
        <v>0</v>
      </c>
      <c r="T31" s="81">
        <v>585.59999999999991</v>
      </c>
      <c r="U31" s="72">
        <v>0</v>
      </c>
    </row>
    <row r="32" spans="1:21" x14ac:dyDescent="0.25">
      <c r="A32" s="133"/>
      <c r="B32" s="134"/>
      <c r="C32" s="134"/>
      <c r="D32" s="135"/>
      <c r="E32" s="136"/>
      <c r="F32" s="137"/>
      <c r="G32" s="137"/>
      <c r="H32" s="137"/>
      <c r="I32" s="137"/>
      <c r="J32" s="138"/>
      <c r="K32" s="61" t="s">
        <v>64</v>
      </c>
      <c r="L32" s="81">
        <v>538</v>
      </c>
      <c r="M32" s="72">
        <v>0</v>
      </c>
      <c r="N32" s="81">
        <v>591.79999999999984</v>
      </c>
      <c r="O32" s="72">
        <v>0</v>
      </c>
      <c r="P32" s="81">
        <v>645.59999999999991</v>
      </c>
      <c r="Q32" s="72">
        <v>0</v>
      </c>
      <c r="R32" s="81">
        <v>484.2</v>
      </c>
      <c r="S32" s="72">
        <v>0</v>
      </c>
      <c r="T32" s="81">
        <v>430.39999999999992</v>
      </c>
      <c r="U32" s="72">
        <v>0</v>
      </c>
    </row>
    <row r="33" spans="1:21" ht="15.6" x14ac:dyDescent="0.3">
      <c r="A33" s="493" t="s">
        <v>125</v>
      </c>
      <c r="B33" s="494"/>
      <c r="C33" s="494"/>
      <c r="D33" s="494"/>
      <c r="E33" s="494"/>
      <c r="F33" s="494"/>
      <c r="G33" s="494"/>
      <c r="H33" s="494"/>
      <c r="I33" s="494"/>
      <c r="J33" s="495"/>
      <c r="K33" s="61" t="s">
        <v>34</v>
      </c>
      <c r="L33" s="81">
        <v>246</v>
      </c>
      <c r="M33" s="72">
        <v>0</v>
      </c>
      <c r="N33" s="81">
        <v>270.60000000000014</v>
      </c>
      <c r="O33" s="72">
        <v>0</v>
      </c>
      <c r="P33" s="81">
        <v>295.20000000000005</v>
      </c>
      <c r="Q33" s="72">
        <v>0</v>
      </c>
      <c r="R33" s="81">
        <v>221.40000000000006</v>
      </c>
      <c r="S33" s="72">
        <v>0</v>
      </c>
      <c r="T33" s="81">
        <v>196.79999999999998</v>
      </c>
      <c r="U33" s="72">
        <v>0</v>
      </c>
    </row>
    <row r="34" spans="1:21" x14ac:dyDescent="0.25">
      <c r="A34" s="60" t="s">
        <v>67</v>
      </c>
      <c r="B34" s="472" t="s">
        <v>115</v>
      </c>
      <c r="C34" s="473"/>
      <c r="D34" s="474"/>
      <c r="E34" s="60" t="s">
        <v>116</v>
      </c>
      <c r="F34" s="472" t="s">
        <v>117</v>
      </c>
      <c r="G34" s="475"/>
      <c r="H34" s="476"/>
      <c r="I34" s="476"/>
      <c r="J34" s="477"/>
      <c r="K34" s="61" t="s">
        <v>35</v>
      </c>
      <c r="L34" s="81">
        <v>66.999999999999972</v>
      </c>
      <c r="M34" s="72">
        <v>0</v>
      </c>
      <c r="N34" s="81">
        <v>73.699999999999918</v>
      </c>
      <c r="O34" s="72">
        <v>0</v>
      </c>
      <c r="P34" s="81">
        <v>80.400000000000048</v>
      </c>
      <c r="Q34" s="72">
        <v>0</v>
      </c>
      <c r="R34" s="81">
        <v>60.30000000000004</v>
      </c>
      <c r="S34" s="72">
        <v>0</v>
      </c>
      <c r="T34" s="81">
        <v>53.600000000000009</v>
      </c>
      <c r="U34" s="72">
        <v>0</v>
      </c>
    </row>
    <row r="35" spans="1:21" x14ac:dyDescent="0.25">
      <c r="A35" s="108"/>
      <c r="B35" s="109"/>
      <c r="C35" s="110"/>
      <c r="D35" s="139"/>
      <c r="E35" s="99"/>
      <c r="F35" s="140"/>
      <c r="G35" s="140"/>
      <c r="H35" s="140"/>
      <c r="I35" s="140"/>
      <c r="J35" s="141"/>
      <c r="K35" s="61" t="s">
        <v>36</v>
      </c>
      <c r="L35" s="81">
        <v>4.9999999999999956</v>
      </c>
      <c r="M35" s="72">
        <v>0</v>
      </c>
      <c r="N35" s="81">
        <v>5.4999999999999929</v>
      </c>
      <c r="O35" s="72">
        <v>0</v>
      </c>
      <c r="P35" s="81">
        <v>6.0000000000000018</v>
      </c>
      <c r="Q35" s="72">
        <v>0</v>
      </c>
      <c r="R35" s="81">
        <v>4.4999999999999982</v>
      </c>
      <c r="S35" s="72">
        <v>0</v>
      </c>
      <c r="T35" s="81">
        <v>3.9999999999999996</v>
      </c>
      <c r="U35" s="72">
        <v>0</v>
      </c>
    </row>
    <row r="36" spans="1:21" x14ac:dyDescent="0.25">
      <c r="A36" s="114"/>
      <c r="B36" s="115"/>
      <c r="C36" s="116"/>
      <c r="D36" s="142"/>
      <c r="E36" s="72"/>
      <c r="F36" s="112"/>
      <c r="G36" s="112"/>
      <c r="H36" s="112"/>
      <c r="I36" s="112"/>
      <c r="J36" s="113"/>
      <c r="K36" s="61" t="s">
        <v>37</v>
      </c>
      <c r="L36" s="81">
        <v>0</v>
      </c>
      <c r="M36" s="72">
        <v>0</v>
      </c>
      <c r="N36" s="81">
        <v>0</v>
      </c>
      <c r="O36" s="72">
        <v>0</v>
      </c>
      <c r="P36" s="81">
        <v>0</v>
      </c>
      <c r="Q36" s="72">
        <v>0</v>
      </c>
      <c r="R36" s="81">
        <v>0</v>
      </c>
      <c r="S36" s="72">
        <v>0</v>
      </c>
      <c r="T36" s="81">
        <v>0</v>
      </c>
      <c r="U36" s="72">
        <v>0</v>
      </c>
    </row>
    <row r="37" spans="1:21" x14ac:dyDescent="0.25">
      <c r="A37" s="114"/>
      <c r="B37" s="115"/>
      <c r="C37" s="116"/>
      <c r="D37" s="142"/>
      <c r="E37" s="72"/>
      <c r="F37" s="112"/>
      <c r="G37" s="112"/>
      <c r="H37" s="112"/>
      <c r="I37" s="112"/>
      <c r="J37" s="113"/>
      <c r="K37" s="61" t="s">
        <v>38</v>
      </c>
      <c r="L37" s="81">
        <v>0</v>
      </c>
      <c r="M37" s="72">
        <v>0</v>
      </c>
      <c r="N37" s="81">
        <v>0</v>
      </c>
      <c r="O37" s="72">
        <v>0</v>
      </c>
      <c r="P37" s="81">
        <v>0</v>
      </c>
      <c r="Q37" s="72">
        <v>0</v>
      </c>
      <c r="R37" s="81">
        <v>0</v>
      </c>
      <c r="S37" s="72">
        <v>0</v>
      </c>
      <c r="T37" s="81">
        <v>0</v>
      </c>
      <c r="U37" s="72">
        <v>0</v>
      </c>
    </row>
    <row r="38" spans="1:21" x14ac:dyDescent="0.25">
      <c r="A38" s="114"/>
      <c r="B38" s="115"/>
      <c r="C38" s="116"/>
      <c r="D38" s="142"/>
      <c r="E38" s="72"/>
      <c r="F38" s="112"/>
      <c r="G38" s="112"/>
      <c r="H38" s="112"/>
      <c r="I38" s="112"/>
      <c r="J38" s="113"/>
      <c r="K38" s="61" t="s">
        <v>39</v>
      </c>
      <c r="L38" s="81">
        <v>29.999999999999993</v>
      </c>
      <c r="M38" s="72">
        <v>0</v>
      </c>
      <c r="N38" s="81">
        <v>33</v>
      </c>
      <c r="O38" s="72">
        <v>0</v>
      </c>
      <c r="P38" s="81">
        <v>36.000000000000007</v>
      </c>
      <c r="Q38" s="72">
        <v>0</v>
      </c>
      <c r="R38" s="81">
        <v>27.000000000000007</v>
      </c>
      <c r="S38" s="72">
        <v>0</v>
      </c>
      <c r="T38" s="81">
        <v>24.000000000000004</v>
      </c>
      <c r="U38" s="72">
        <v>0</v>
      </c>
    </row>
    <row r="39" spans="1:21" x14ac:dyDescent="0.25">
      <c r="A39" s="114"/>
      <c r="B39" s="115"/>
      <c r="C39" s="116"/>
      <c r="D39" s="142"/>
      <c r="E39" s="72"/>
      <c r="F39" s="112"/>
      <c r="G39" s="112"/>
      <c r="H39" s="112"/>
      <c r="I39" s="112"/>
      <c r="J39" s="113"/>
      <c r="K39" s="61" t="s">
        <v>40</v>
      </c>
      <c r="L39" s="81">
        <v>212</v>
      </c>
      <c r="M39" s="72">
        <v>0</v>
      </c>
      <c r="N39" s="81">
        <v>233.20000000000005</v>
      </c>
      <c r="O39" s="72">
        <v>0</v>
      </c>
      <c r="P39" s="81">
        <v>254.40000000000003</v>
      </c>
      <c r="Q39" s="72">
        <v>0</v>
      </c>
      <c r="R39" s="81">
        <v>190.79999999999998</v>
      </c>
      <c r="S39" s="72">
        <v>0</v>
      </c>
      <c r="T39" s="81">
        <v>169.6</v>
      </c>
      <c r="U39" s="72">
        <v>0</v>
      </c>
    </row>
    <row r="40" spans="1:21" x14ac:dyDescent="0.25">
      <c r="A40" s="114"/>
      <c r="B40" s="115"/>
      <c r="C40" s="116"/>
      <c r="D40" s="142"/>
      <c r="E40" s="72"/>
      <c r="F40" s="112"/>
      <c r="G40" s="112"/>
      <c r="H40" s="112"/>
      <c r="I40" s="112"/>
      <c r="J40" s="113"/>
      <c r="K40" s="61" t="s">
        <v>65</v>
      </c>
      <c r="L40" s="81">
        <v>493.00000000000023</v>
      </c>
      <c r="M40" s="72">
        <v>0</v>
      </c>
      <c r="N40" s="81">
        <v>542.29999999999995</v>
      </c>
      <c r="O40" s="72">
        <v>0</v>
      </c>
      <c r="P40" s="81">
        <v>591.60000000000014</v>
      </c>
      <c r="Q40" s="72">
        <v>0</v>
      </c>
      <c r="R40" s="81">
        <v>443.70000000000016</v>
      </c>
      <c r="S40" s="72">
        <v>0</v>
      </c>
      <c r="T40" s="81">
        <v>394.39999999999986</v>
      </c>
      <c r="U40" s="72">
        <v>0</v>
      </c>
    </row>
    <row r="41" spans="1:21" x14ac:dyDescent="0.25">
      <c r="A41" s="114"/>
      <c r="B41" s="115"/>
      <c r="C41" s="116"/>
      <c r="D41" s="142"/>
      <c r="E41" s="72"/>
      <c r="F41" s="112"/>
      <c r="G41" s="112"/>
      <c r="H41" s="112"/>
      <c r="I41" s="112"/>
      <c r="J41" s="113"/>
      <c r="K41" s="61" t="s">
        <v>66</v>
      </c>
      <c r="L41" s="81">
        <v>840.99999999999943</v>
      </c>
      <c r="M41" s="72">
        <v>0</v>
      </c>
      <c r="N41" s="81">
        <v>925.10000000000025</v>
      </c>
      <c r="O41" s="72">
        <v>0</v>
      </c>
      <c r="P41" s="81">
        <v>1009.1999999999994</v>
      </c>
      <c r="Q41" s="72">
        <v>0</v>
      </c>
      <c r="R41" s="81">
        <v>756.90000000000009</v>
      </c>
      <c r="S41" s="72">
        <v>0</v>
      </c>
      <c r="T41" s="81">
        <v>672.8</v>
      </c>
      <c r="U41" s="72">
        <v>0</v>
      </c>
    </row>
    <row r="42" spans="1:21" x14ac:dyDescent="0.25">
      <c r="A42" s="114"/>
      <c r="B42" s="115"/>
      <c r="C42" s="116"/>
      <c r="D42" s="142"/>
      <c r="E42" s="72"/>
      <c r="F42" s="112"/>
      <c r="G42" s="112"/>
      <c r="H42" s="112"/>
      <c r="I42" s="112"/>
      <c r="J42" s="113"/>
      <c r="K42" s="118" t="s">
        <v>126</v>
      </c>
      <c r="L42" s="119">
        <v>4096.9999999999991</v>
      </c>
      <c r="M42" s="119">
        <v>0</v>
      </c>
      <c r="N42" s="119">
        <v>4506.7</v>
      </c>
      <c r="O42" s="119">
        <v>0</v>
      </c>
      <c r="P42" s="119">
        <v>4916.3999999999996</v>
      </c>
      <c r="Q42" s="119">
        <v>0</v>
      </c>
      <c r="R42" s="119">
        <v>3687.3000000000011</v>
      </c>
      <c r="S42" s="119">
        <v>0</v>
      </c>
      <c r="T42" s="119">
        <v>3277.6000000000004</v>
      </c>
      <c r="U42" s="119">
        <v>0</v>
      </c>
    </row>
    <row r="43" spans="1:21" x14ac:dyDescent="0.25">
      <c r="A43" s="114"/>
      <c r="B43" s="115"/>
      <c r="C43" s="116"/>
      <c r="D43" s="142"/>
      <c r="E43" s="72"/>
      <c r="F43" s="112"/>
      <c r="G43" s="112"/>
      <c r="H43" s="112"/>
      <c r="I43" s="112"/>
      <c r="J43" s="113"/>
      <c r="K43" s="118" t="s">
        <v>127</v>
      </c>
      <c r="L43" s="119">
        <v>3536.9999999999995</v>
      </c>
      <c r="M43" s="119">
        <v>0</v>
      </c>
      <c r="N43" s="119">
        <v>3890.7</v>
      </c>
      <c r="O43" s="119">
        <v>0</v>
      </c>
      <c r="P43" s="119">
        <v>4244.3999999999996</v>
      </c>
      <c r="Q43" s="119">
        <v>0</v>
      </c>
      <c r="R43" s="119">
        <v>3183.3000000000006</v>
      </c>
      <c r="S43" s="119">
        <v>0</v>
      </c>
      <c r="T43" s="119">
        <v>2829.6000000000004</v>
      </c>
      <c r="U43" s="119">
        <v>0</v>
      </c>
    </row>
    <row r="44" spans="1:21" x14ac:dyDescent="0.25">
      <c r="A44" s="114"/>
      <c r="B44" s="124"/>
      <c r="C44" s="125"/>
      <c r="D44" s="143"/>
      <c r="E44" s="127"/>
      <c r="F44" s="112"/>
      <c r="G44" s="112"/>
      <c r="H44" s="112"/>
      <c r="I44" s="112"/>
      <c r="J44" s="113"/>
      <c r="K44" s="118" t="s">
        <v>128</v>
      </c>
      <c r="L44" s="119">
        <v>4096.9999999999991</v>
      </c>
      <c r="M44" s="119">
        <v>1208646.9068918093</v>
      </c>
      <c r="N44" s="119">
        <v>4506.7</v>
      </c>
      <c r="O44" s="119">
        <v>1307668.5732810553</v>
      </c>
      <c r="P44" s="119">
        <v>4916.3999999999996</v>
      </c>
      <c r="Q44" s="119">
        <v>1406690.2396703013</v>
      </c>
      <c r="R44" s="119">
        <v>3687.3000000000011</v>
      </c>
      <c r="S44" s="119">
        <v>1109625.2405025638</v>
      </c>
      <c r="T44" s="119">
        <v>3277.6000000000004</v>
      </c>
      <c r="U44" s="119">
        <v>1010603.5741133179</v>
      </c>
    </row>
    <row r="45" spans="1:21" x14ac:dyDescent="0.25">
      <c r="A45" s="128"/>
      <c r="B45" s="129"/>
      <c r="C45" s="129"/>
      <c r="D45" s="129" t="s">
        <v>129</v>
      </c>
      <c r="E45" s="130">
        <v>0</v>
      </c>
      <c r="F45" s="131"/>
      <c r="G45" s="131"/>
      <c r="H45" s="131"/>
      <c r="I45" s="131"/>
      <c r="J45" s="132"/>
      <c r="K45" s="118" t="s">
        <v>130</v>
      </c>
      <c r="L45" s="119">
        <v>3536.9999999999995</v>
      </c>
      <c r="M45" s="119">
        <v>944282.7072747997</v>
      </c>
      <c r="N45" s="119">
        <v>3890.7</v>
      </c>
      <c r="O45" s="119">
        <v>1028836.2538834063</v>
      </c>
      <c r="P45" s="119">
        <v>4244.3999999999996</v>
      </c>
      <c r="Q45" s="119">
        <v>1113389.8004920129</v>
      </c>
      <c r="R45" s="119">
        <v>3183.3000000000006</v>
      </c>
      <c r="S45" s="119">
        <v>859729.16066619358</v>
      </c>
      <c r="T45" s="119">
        <v>2829.6000000000004</v>
      </c>
      <c r="U45" s="119">
        <v>775175.61405758688</v>
      </c>
    </row>
    <row r="47" spans="1:21" x14ac:dyDescent="0.25">
      <c r="K47" s="61" t="s">
        <v>62</v>
      </c>
      <c r="M47" s="177">
        <f>+M12+M30</f>
        <v>258459.46960841271</v>
      </c>
    </row>
    <row r="48" spans="1:21" x14ac:dyDescent="0.25">
      <c r="K48" s="61" t="s">
        <v>63</v>
      </c>
      <c r="M48" s="177">
        <f t="shared" ref="M48:M49" si="0">+M13+M31</f>
        <v>201741.00217962617</v>
      </c>
    </row>
    <row r="49" spans="1:13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61" t="s">
        <v>64</v>
      </c>
      <c r="M49" s="177">
        <f t="shared" si="0"/>
        <v>150023.32112451177</v>
      </c>
    </row>
    <row r="50" spans="1:13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61" t="s">
        <v>34</v>
      </c>
    </row>
    <row r="51" spans="1:13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61" t="s">
        <v>35</v>
      </c>
    </row>
    <row r="52" spans="1:13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61" t="s">
        <v>36</v>
      </c>
    </row>
    <row r="53" spans="1:13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61" t="s">
        <v>37</v>
      </c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61" t="s">
        <v>38</v>
      </c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61" t="s">
        <v>39</v>
      </c>
    </row>
    <row r="56" spans="1:13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61" t="s">
        <v>40</v>
      </c>
    </row>
    <row r="57" spans="1:13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61" t="s">
        <v>65</v>
      </c>
      <c r="M57" s="177">
        <f t="shared" ref="M57:M58" si="1">+M22+M40</f>
        <v>121680.08920275042</v>
      </c>
    </row>
    <row r="58" spans="1:13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61" t="s">
        <v>66</v>
      </c>
      <c r="M58" s="177">
        <f t="shared" si="1"/>
        <v>212378.82515949878</v>
      </c>
    </row>
    <row r="59" spans="1:13" ht="14.4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M59" s="178">
        <f>SUM(M47:M58)</f>
        <v>944282.7072747997</v>
      </c>
    </row>
    <row r="60" spans="1:13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3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3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3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3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19" priority="4" stopIfTrue="1" operator="greaterThanOrEqual">
      <formula>$E$11</formula>
    </cfRule>
  </conditionalFormatting>
  <conditionalFormatting sqref="J10">
    <cfRule type="cellIs" dxfId="18" priority="3" stopIfTrue="1" operator="greaterThanOrEqual">
      <formula>$E$11</formula>
    </cfRule>
  </conditionalFormatting>
  <conditionalFormatting sqref="H9">
    <cfRule type="cellIs" dxfId="17" priority="2" stopIfTrue="1" operator="greaterThanOrEqual">
      <formula>$H$6</formula>
    </cfRule>
  </conditionalFormatting>
  <conditionalFormatting sqref="F4:J4">
    <cfRule type="containsText" dxfId="16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0" zoomScaleNormal="70" workbookViewId="0">
      <selection activeCell="J35" sqref="J35"/>
    </sheetView>
  </sheetViews>
  <sheetFormatPr defaultRowHeight="14.4" x14ac:dyDescent="0.3"/>
  <cols>
    <col min="1" max="1" width="26.6640625" style="277" customWidth="1"/>
    <col min="2" max="3" width="18.6640625" style="277" customWidth="1"/>
    <col min="4" max="4" width="27.6640625" style="277" customWidth="1"/>
    <col min="5" max="5" width="15.6640625" style="277" customWidth="1"/>
    <col min="6" max="7" width="12.6640625" style="277" customWidth="1"/>
    <col min="8" max="8" width="17.6640625" style="277" customWidth="1"/>
    <col min="9" max="10" width="15.6640625" style="277" customWidth="1"/>
    <col min="11" max="13" width="18.6640625" style="276" customWidth="1"/>
    <col min="14" max="21" width="15.88671875" style="276" customWidth="1"/>
    <col min="22" max="256" width="9.109375" style="276"/>
    <col min="257" max="257" width="26.6640625" style="276" customWidth="1"/>
    <col min="258" max="259" width="18.6640625" style="276" customWidth="1"/>
    <col min="260" max="260" width="27.6640625" style="276" customWidth="1"/>
    <col min="261" max="261" width="15.6640625" style="276" customWidth="1"/>
    <col min="262" max="263" width="12.6640625" style="276" customWidth="1"/>
    <col min="264" max="264" width="17.6640625" style="276" customWidth="1"/>
    <col min="265" max="266" width="15.6640625" style="276" customWidth="1"/>
    <col min="267" max="269" width="18.6640625" style="276" customWidth="1"/>
    <col min="270" max="277" width="15.88671875" style="276" customWidth="1"/>
    <col min="278" max="512" width="9.109375" style="276"/>
    <col min="513" max="513" width="26.6640625" style="276" customWidth="1"/>
    <col min="514" max="515" width="18.6640625" style="276" customWidth="1"/>
    <col min="516" max="516" width="27.6640625" style="276" customWidth="1"/>
    <col min="517" max="517" width="15.6640625" style="276" customWidth="1"/>
    <col min="518" max="519" width="12.6640625" style="276" customWidth="1"/>
    <col min="520" max="520" width="17.6640625" style="276" customWidth="1"/>
    <col min="521" max="522" width="15.6640625" style="276" customWidth="1"/>
    <col min="523" max="525" width="18.6640625" style="276" customWidth="1"/>
    <col min="526" max="533" width="15.88671875" style="276" customWidth="1"/>
    <col min="534" max="768" width="9.109375" style="276"/>
    <col min="769" max="769" width="26.6640625" style="276" customWidth="1"/>
    <col min="770" max="771" width="18.6640625" style="276" customWidth="1"/>
    <col min="772" max="772" width="27.6640625" style="276" customWidth="1"/>
    <col min="773" max="773" width="15.6640625" style="276" customWidth="1"/>
    <col min="774" max="775" width="12.6640625" style="276" customWidth="1"/>
    <col min="776" max="776" width="17.6640625" style="276" customWidth="1"/>
    <col min="777" max="778" width="15.6640625" style="276" customWidth="1"/>
    <col min="779" max="781" width="18.6640625" style="276" customWidth="1"/>
    <col min="782" max="789" width="15.88671875" style="276" customWidth="1"/>
    <col min="790" max="1024" width="9.109375" style="276"/>
    <col min="1025" max="1025" width="26.6640625" style="276" customWidth="1"/>
    <col min="1026" max="1027" width="18.6640625" style="276" customWidth="1"/>
    <col min="1028" max="1028" width="27.6640625" style="276" customWidth="1"/>
    <col min="1029" max="1029" width="15.6640625" style="276" customWidth="1"/>
    <col min="1030" max="1031" width="12.6640625" style="276" customWidth="1"/>
    <col min="1032" max="1032" width="17.6640625" style="276" customWidth="1"/>
    <col min="1033" max="1034" width="15.6640625" style="276" customWidth="1"/>
    <col min="1035" max="1037" width="18.6640625" style="276" customWidth="1"/>
    <col min="1038" max="1045" width="15.88671875" style="276" customWidth="1"/>
    <col min="1046" max="1280" width="9.109375" style="276"/>
    <col min="1281" max="1281" width="26.6640625" style="276" customWidth="1"/>
    <col min="1282" max="1283" width="18.6640625" style="276" customWidth="1"/>
    <col min="1284" max="1284" width="27.6640625" style="276" customWidth="1"/>
    <col min="1285" max="1285" width="15.6640625" style="276" customWidth="1"/>
    <col min="1286" max="1287" width="12.6640625" style="276" customWidth="1"/>
    <col min="1288" max="1288" width="17.6640625" style="276" customWidth="1"/>
    <col min="1289" max="1290" width="15.6640625" style="276" customWidth="1"/>
    <col min="1291" max="1293" width="18.6640625" style="276" customWidth="1"/>
    <col min="1294" max="1301" width="15.88671875" style="276" customWidth="1"/>
    <col min="1302" max="1536" width="9.109375" style="276"/>
    <col min="1537" max="1537" width="26.6640625" style="276" customWidth="1"/>
    <col min="1538" max="1539" width="18.6640625" style="276" customWidth="1"/>
    <col min="1540" max="1540" width="27.6640625" style="276" customWidth="1"/>
    <col min="1541" max="1541" width="15.6640625" style="276" customWidth="1"/>
    <col min="1542" max="1543" width="12.6640625" style="276" customWidth="1"/>
    <col min="1544" max="1544" width="17.6640625" style="276" customWidth="1"/>
    <col min="1545" max="1546" width="15.6640625" style="276" customWidth="1"/>
    <col min="1547" max="1549" width="18.6640625" style="276" customWidth="1"/>
    <col min="1550" max="1557" width="15.88671875" style="276" customWidth="1"/>
    <col min="1558" max="1792" width="9.109375" style="276"/>
    <col min="1793" max="1793" width="26.6640625" style="276" customWidth="1"/>
    <col min="1794" max="1795" width="18.6640625" style="276" customWidth="1"/>
    <col min="1796" max="1796" width="27.6640625" style="276" customWidth="1"/>
    <col min="1797" max="1797" width="15.6640625" style="276" customWidth="1"/>
    <col min="1798" max="1799" width="12.6640625" style="276" customWidth="1"/>
    <col min="1800" max="1800" width="17.6640625" style="276" customWidth="1"/>
    <col min="1801" max="1802" width="15.6640625" style="276" customWidth="1"/>
    <col min="1803" max="1805" width="18.6640625" style="276" customWidth="1"/>
    <col min="1806" max="1813" width="15.88671875" style="276" customWidth="1"/>
    <col min="1814" max="2048" width="9.109375" style="276"/>
    <col min="2049" max="2049" width="26.6640625" style="276" customWidth="1"/>
    <col min="2050" max="2051" width="18.6640625" style="276" customWidth="1"/>
    <col min="2052" max="2052" width="27.6640625" style="276" customWidth="1"/>
    <col min="2053" max="2053" width="15.6640625" style="276" customWidth="1"/>
    <col min="2054" max="2055" width="12.6640625" style="276" customWidth="1"/>
    <col min="2056" max="2056" width="17.6640625" style="276" customWidth="1"/>
    <col min="2057" max="2058" width="15.6640625" style="276" customWidth="1"/>
    <col min="2059" max="2061" width="18.6640625" style="276" customWidth="1"/>
    <col min="2062" max="2069" width="15.88671875" style="276" customWidth="1"/>
    <col min="2070" max="2304" width="9.109375" style="276"/>
    <col min="2305" max="2305" width="26.6640625" style="276" customWidth="1"/>
    <col min="2306" max="2307" width="18.6640625" style="276" customWidth="1"/>
    <col min="2308" max="2308" width="27.6640625" style="276" customWidth="1"/>
    <col min="2309" max="2309" width="15.6640625" style="276" customWidth="1"/>
    <col min="2310" max="2311" width="12.6640625" style="276" customWidth="1"/>
    <col min="2312" max="2312" width="17.6640625" style="276" customWidth="1"/>
    <col min="2313" max="2314" width="15.6640625" style="276" customWidth="1"/>
    <col min="2315" max="2317" width="18.6640625" style="276" customWidth="1"/>
    <col min="2318" max="2325" width="15.88671875" style="276" customWidth="1"/>
    <col min="2326" max="2560" width="9.109375" style="276"/>
    <col min="2561" max="2561" width="26.6640625" style="276" customWidth="1"/>
    <col min="2562" max="2563" width="18.6640625" style="276" customWidth="1"/>
    <col min="2564" max="2564" width="27.6640625" style="276" customWidth="1"/>
    <col min="2565" max="2565" width="15.6640625" style="276" customWidth="1"/>
    <col min="2566" max="2567" width="12.6640625" style="276" customWidth="1"/>
    <col min="2568" max="2568" width="17.6640625" style="276" customWidth="1"/>
    <col min="2569" max="2570" width="15.6640625" style="276" customWidth="1"/>
    <col min="2571" max="2573" width="18.6640625" style="276" customWidth="1"/>
    <col min="2574" max="2581" width="15.88671875" style="276" customWidth="1"/>
    <col min="2582" max="2816" width="9.109375" style="276"/>
    <col min="2817" max="2817" width="26.6640625" style="276" customWidth="1"/>
    <col min="2818" max="2819" width="18.6640625" style="276" customWidth="1"/>
    <col min="2820" max="2820" width="27.6640625" style="276" customWidth="1"/>
    <col min="2821" max="2821" width="15.6640625" style="276" customWidth="1"/>
    <col min="2822" max="2823" width="12.6640625" style="276" customWidth="1"/>
    <col min="2824" max="2824" width="17.6640625" style="276" customWidth="1"/>
    <col min="2825" max="2826" width="15.6640625" style="276" customWidth="1"/>
    <col min="2827" max="2829" width="18.6640625" style="276" customWidth="1"/>
    <col min="2830" max="2837" width="15.88671875" style="276" customWidth="1"/>
    <col min="2838" max="3072" width="9.109375" style="276"/>
    <col min="3073" max="3073" width="26.6640625" style="276" customWidth="1"/>
    <col min="3074" max="3075" width="18.6640625" style="276" customWidth="1"/>
    <col min="3076" max="3076" width="27.6640625" style="276" customWidth="1"/>
    <col min="3077" max="3077" width="15.6640625" style="276" customWidth="1"/>
    <col min="3078" max="3079" width="12.6640625" style="276" customWidth="1"/>
    <col min="3080" max="3080" width="17.6640625" style="276" customWidth="1"/>
    <col min="3081" max="3082" width="15.6640625" style="276" customWidth="1"/>
    <col min="3083" max="3085" width="18.6640625" style="276" customWidth="1"/>
    <col min="3086" max="3093" width="15.88671875" style="276" customWidth="1"/>
    <col min="3094" max="3328" width="9.109375" style="276"/>
    <col min="3329" max="3329" width="26.6640625" style="276" customWidth="1"/>
    <col min="3330" max="3331" width="18.6640625" style="276" customWidth="1"/>
    <col min="3332" max="3332" width="27.6640625" style="276" customWidth="1"/>
    <col min="3333" max="3333" width="15.6640625" style="276" customWidth="1"/>
    <col min="3334" max="3335" width="12.6640625" style="276" customWidth="1"/>
    <col min="3336" max="3336" width="17.6640625" style="276" customWidth="1"/>
    <col min="3337" max="3338" width="15.6640625" style="276" customWidth="1"/>
    <col min="3339" max="3341" width="18.6640625" style="276" customWidth="1"/>
    <col min="3342" max="3349" width="15.88671875" style="276" customWidth="1"/>
    <col min="3350" max="3584" width="9.109375" style="276"/>
    <col min="3585" max="3585" width="26.6640625" style="276" customWidth="1"/>
    <col min="3586" max="3587" width="18.6640625" style="276" customWidth="1"/>
    <col min="3588" max="3588" width="27.6640625" style="276" customWidth="1"/>
    <col min="3589" max="3589" width="15.6640625" style="276" customWidth="1"/>
    <col min="3590" max="3591" width="12.6640625" style="276" customWidth="1"/>
    <col min="3592" max="3592" width="17.6640625" style="276" customWidth="1"/>
    <col min="3593" max="3594" width="15.6640625" style="276" customWidth="1"/>
    <col min="3595" max="3597" width="18.6640625" style="276" customWidth="1"/>
    <col min="3598" max="3605" width="15.88671875" style="276" customWidth="1"/>
    <col min="3606" max="3840" width="9.109375" style="276"/>
    <col min="3841" max="3841" width="26.6640625" style="276" customWidth="1"/>
    <col min="3842" max="3843" width="18.6640625" style="276" customWidth="1"/>
    <col min="3844" max="3844" width="27.6640625" style="276" customWidth="1"/>
    <col min="3845" max="3845" width="15.6640625" style="276" customWidth="1"/>
    <col min="3846" max="3847" width="12.6640625" style="276" customWidth="1"/>
    <col min="3848" max="3848" width="17.6640625" style="276" customWidth="1"/>
    <col min="3849" max="3850" width="15.6640625" style="276" customWidth="1"/>
    <col min="3851" max="3853" width="18.6640625" style="276" customWidth="1"/>
    <col min="3854" max="3861" width="15.88671875" style="276" customWidth="1"/>
    <col min="3862" max="4096" width="9.109375" style="276"/>
    <col min="4097" max="4097" width="26.6640625" style="276" customWidth="1"/>
    <col min="4098" max="4099" width="18.6640625" style="276" customWidth="1"/>
    <col min="4100" max="4100" width="27.6640625" style="276" customWidth="1"/>
    <col min="4101" max="4101" width="15.6640625" style="276" customWidth="1"/>
    <col min="4102" max="4103" width="12.6640625" style="276" customWidth="1"/>
    <col min="4104" max="4104" width="17.6640625" style="276" customWidth="1"/>
    <col min="4105" max="4106" width="15.6640625" style="276" customWidth="1"/>
    <col min="4107" max="4109" width="18.6640625" style="276" customWidth="1"/>
    <col min="4110" max="4117" width="15.88671875" style="276" customWidth="1"/>
    <col min="4118" max="4352" width="9.109375" style="276"/>
    <col min="4353" max="4353" width="26.6640625" style="276" customWidth="1"/>
    <col min="4354" max="4355" width="18.6640625" style="276" customWidth="1"/>
    <col min="4356" max="4356" width="27.6640625" style="276" customWidth="1"/>
    <col min="4357" max="4357" width="15.6640625" style="276" customWidth="1"/>
    <col min="4358" max="4359" width="12.6640625" style="276" customWidth="1"/>
    <col min="4360" max="4360" width="17.6640625" style="276" customWidth="1"/>
    <col min="4361" max="4362" width="15.6640625" style="276" customWidth="1"/>
    <col min="4363" max="4365" width="18.6640625" style="276" customWidth="1"/>
    <col min="4366" max="4373" width="15.88671875" style="276" customWidth="1"/>
    <col min="4374" max="4608" width="9.109375" style="276"/>
    <col min="4609" max="4609" width="26.6640625" style="276" customWidth="1"/>
    <col min="4610" max="4611" width="18.6640625" style="276" customWidth="1"/>
    <col min="4612" max="4612" width="27.6640625" style="276" customWidth="1"/>
    <col min="4613" max="4613" width="15.6640625" style="276" customWidth="1"/>
    <col min="4614" max="4615" width="12.6640625" style="276" customWidth="1"/>
    <col min="4616" max="4616" width="17.6640625" style="276" customWidth="1"/>
    <col min="4617" max="4618" width="15.6640625" style="276" customWidth="1"/>
    <col min="4619" max="4621" width="18.6640625" style="276" customWidth="1"/>
    <col min="4622" max="4629" width="15.88671875" style="276" customWidth="1"/>
    <col min="4630" max="4864" width="9.109375" style="276"/>
    <col min="4865" max="4865" width="26.6640625" style="276" customWidth="1"/>
    <col min="4866" max="4867" width="18.6640625" style="276" customWidth="1"/>
    <col min="4868" max="4868" width="27.6640625" style="276" customWidth="1"/>
    <col min="4869" max="4869" width="15.6640625" style="276" customWidth="1"/>
    <col min="4870" max="4871" width="12.6640625" style="276" customWidth="1"/>
    <col min="4872" max="4872" width="17.6640625" style="276" customWidth="1"/>
    <col min="4873" max="4874" width="15.6640625" style="276" customWidth="1"/>
    <col min="4875" max="4877" width="18.6640625" style="276" customWidth="1"/>
    <col min="4878" max="4885" width="15.88671875" style="276" customWidth="1"/>
    <col min="4886" max="5120" width="9.109375" style="276"/>
    <col min="5121" max="5121" width="26.6640625" style="276" customWidth="1"/>
    <col min="5122" max="5123" width="18.6640625" style="276" customWidth="1"/>
    <col min="5124" max="5124" width="27.6640625" style="276" customWidth="1"/>
    <col min="5125" max="5125" width="15.6640625" style="276" customWidth="1"/>
    <col min="5126" max="5127" width="12.6640625" style="276" customWidth="1"/>
    <col min="5128" max="5128" width="17.6640625" style="276" customWidth="1"/>
    <col min="5129" max="5130" width="15.6640625" style="276" customWidth="1"/>
    <col min="5131" max="5133" width="18.6640625" style="276" customWidth="1"/>
    <col min="5134" max="5141" width="15.88671875" style="276" customWidth="1"/>
    <col min="5142" max="5376" width="9.109375" style="276"/>
    <col min="5377" max="5377" width="26.6640625" style="276" customWidth="1"/>
    <col min="5378" max="5379" width="18.6640625" style="276" customWidth="1"/>
    <col min="5380" max="5380" width="27.6640625" style="276" customWidth="1"/>
    <col min="5381" max="5381" width="15.6640625" style="276" customWidth="1"/>
    <col min="5382" max="5383" width="12.6640625" style="276" customWidth="1"/>
    <col min="5384" max="5384" width="17.6640625" style="276" customWidth="1"/>
    <col min="5385" max="5386" width="15.6640625" style="276" customWidth="1"/>
    <col min="5387" max="5389" width="18.6640625" style="276" customWidth="1"/>
    <col min="5390" max="5397" width="15.88671875" style="276" customWidth="1"/>
    <col min="5398" max="5632" width="9.109375" style="276"/>
    <col min="5633" max="5633" width="26.6640625" style="276" customWidth="1"/>
    <col min="5634" max="5635" width="18.6640625" style="276" customWidth="1"/>
    <col min="5636" max="5636" width="27.6640625" style="276" customWidth="1"/>
    <col min="5637" max="5637" width="15.6640625" style="276" customWidth="1"/>
    <col min="5638" max="5639" width="12.6640625" style="276" customWidth="1"/>
    <col min="5640" max="5640" width="17.6640625" style="276" customWidth="1"/>
    <col min="5641" max="5642" width="15.6640625" style="276" customWidth="1"/>
    <col min="5643" max="5645" width="18.6640625" style="276" customWidth="1"/>
    <col min="5646" max="5653" width="15.88671875" style="276" customWidth="1"/>
    <col min="5654" max="5888" width="9.109375" style="276"/>
    <col min="5889" max="5889" width="26.6640625" style="276" customWidth="1"/>
    <col min="5890" max="5891" width="18.6640625" style="276" customWidth="1"/>
    <col min="5892" max="5892" width="27.6640625" style="276" customWidth="1"/>
    <col min="5893" max="5893" width="15.6640625" style="276" customWidth="1"/>
    <col min="5894" max="5895" width="12.6640625" style="276" customWidth="1"/>
    <col min="5896" max="5896" width="17.6640625" style="276" customWidth="1"/>
    <col min="5897" max="5898" width="15.6640625" style="276" customWidth="1"/>
    <col min="5899" max="5901" width="18.6640625" style="276" customWidth="1"/>
    <col min="5902" max="5909" width="15.88671875" style="276" customWidth="1"/>
    <col min="5910" max="6144" width="9.109375" style="276"/>
    <col min="6145" max="6145" width="26.6640625" style="276" customWidth="1"/>
    <col min="6146" max="6147" width="18.6640625" style="276" customWidth="1"/>
    <col min="6148" max="6148" width="27.6640625" style="276" customWidth="1"/>
    <col min="6149" max="6149" width="15.6640625" style="276" customWidth="1"/>
    <col min="6150" max="6151" width="12.6640625" style="276" customWidth="1"/>
    <col min="6152" max="6152" width="17.6640625" style="276" customWidth="1"/>
    <col min="6153" max="6154" width="15.6640625" style="276" customWidth="1"/>
    <col min="6155" max="6157" width="18.6640625" style="276" customWidth="1"/>
    <col min="6158" max="6165" width="15.88671875" style="276" customWidth="1"/>
    <col min="6166" max="6400" width="9.109375" style="276"/>
    <col min="6401" max="6401" width="26.6640625" style="276" customWidth="1"/>
    <col min="6402" max="6403" width="18.6640625" style="276" customWidth="1"/>
    <col min="6404" max="6404" width="27.6640625" style="276" customWidth="1"/>
    <col min="6405" max="6405" width="15.6640625" style="276" customWidth="1"/>
    <col min="6406" max="6407" width="12.6640625" style="276" customWidth="1"/>
    <col min="6408" max="6408" width="17.6640625" style="276" customWidth="1"/>
    <col min="6409" max="6410" width="15.6640625" style="276" customWidth="1"/>
    <col min="6411" max="6413" width="18.6640625" style="276" customWidth="1"/>
    <col min="6414" max="6421" width="15.88671875" style="276" customWidth="1"/>
    <col min="6422" max="6656" width="9.109375" style="276"/>
    <col min="6657" max="6657" width="26.6640625" style="276" customWidth="1"/>
    <col min="6658" max="6659" width="18.6640625" style="276" customWidth="1"/>
    <col min="6660" max="6660" width="27.6640625" style="276" customWidth="1"/>
    <col min="6661" max="6661" width="15.6640625" style="276" customWidth="1"/>
    <col min="6662" max="6663" width="12.6640625" style="276" customWidth="1"/>
    <col min="6664" max="6664" width="17.6640625" style="276" customWidth="1"/>
    <col min="6665" max="6666" width="15.6640625" style="276" customWidth="1"/>
    <col min="6667" max="6669" width="18.6640625" style="276" customWidth="1"/>
    <col min="6670" max="6677" width="15.88671875" style="276" customWidth="1"/>
    <col min="6678" max="6912" width="9.109375" style="276"/>
    <col min="6913" max="6913" width="26.6640625" style="276" customWidth="1"/>
    <col min="6914" max="6915" width="18.6640625" style="276" customWidth="1"/>
    <col min="6916" max="6916" width="27.6640625" style="276" customWidth="1"/>
    <col min="6917" max="6917" width="15.6640625" style="276" customWidth="1"/>
    <col min="6918" max="6919" width="12.6640625" style="276" customWidth="1"/>
    <col min="6920" max="6920" width="17.6640625" style="276" customWidth="1"/>
    <col min="6921" max="6922" width="15.6640625" style="276" customWidth="1"/>
    <col min="6923" max="6925" width="18.6640625" style="276" customWidth="1"/>
    <col min="6926" max="6933" width="15.88671875" style="276" customWidth="1"/>
    <col min="6934" max="7168" width="9.109375" style="276"/>
    <col min="7169" max="7169" width="26.6640625" style="276" customWidth="1"/>
    <col min="7170" max="7171" width="18.6640625" style="276" customWidth="1"/>
    <col min="7172" max="7172" width="27.6640625" style="276" customWidth="1"/>
    <col min="7173" max="7173" width="15.6640625" style="276" customWidth="1"/>
    <col min="7174" max="7175" width="12.6640625" style="276" customWidth="1"/>
    <col min="7176" max="7176" width="17.6640625" style="276" customWidth="1"/>
    <col min="7177" max="7178" width="15.6640625" style="276" customWidth="1"/>
    <col min="7179" max="7181" width="18.6640625" style="276" customWidth="1"/>
    <col min="7182" max="7189" width="15.88671875" style="276" customWidth="1"/>
    <col min="7190" max="7424" width="9.109375" style="276"/>
    <col min="7425" max="7425" width="26.6640625" style="276" customWidth="1"/>
    <col min="7426" max="7427" width="18.6640625" style="276" customWidth="1"/>
    <col min="7428" max="7428" width="27.6640625" style="276" customWidth="1"/>
    <col min="7429" max="7429" width="15.6640625" style="276" customWidth="1"/>
    <col min="7430" max="7431" width="12.6640625" style="276" customWidth="1"/>
    <col min="7432" max="7432" width="17.6640625" style="276" customWidth="1"/>
    <col min="7433" max="7434" width="15.6640625" style="276" customWidth="1"/>
    <col min="7435" max="7437" width="18.6640625" style="276" customWidth="1"/>
    <col min="7438" max="7445" width="15.88671875" style="276" customWidth="1"/>
    <col min="7446" max="7680" width="9.109375" style="276"/>
    <col min="7681" max="7681" width="26.6640625" style="276" customWidth="1"/>
    <col min="7682" max="7683" width="18.6640625" style="276" customWidth="1"/>
    <col min="7684" max="7684" width="27.6640625" style="276" customWidth="1"/>
    <col min="7685" max="7685" width="15.6640625" style="276" customWidth="1"/>
    <col min="7686" max="7687" width="12.6640625" style="276" customWidth="1"/>
    <col min="7688" max="7688" width="17.6640625" style="276" customWidth="1"/>
    <col min="7689" max="7690" width="15.6640625" style="276" customWidth="1"/>
    <col min="7691" max="7693" width="18.6640625" style="276" customWidth="1"/>
    <col min="7694" max="7701" width="15.88671875" style="276" customWidth="1"/>
    <col min="7702" max="7936" width="9.109375" style="276"/>
    <col min="7937" max="7937" width="26.6640625" style="276" customWidth="1"/>
    <col min="7938" max="7939" width="18.6640625" style="276" customWidth="1"/>
    <col min="7940" max="7940" width="27.6640625" style="276" customWidth="1"/>
    <col min="7941" max="7941" width="15.6640625" style="276" customWidth="1"/>
    <col min="7942" max="7943" width="12.6640625" style="276" customWidth="1"/>
    <col min="7944" max="7944" width="17.6640625" style="276" customWidth="1"/>
    <col min="7945" max="7946" width="15.6640625" style="276" customWidth="1"/>
    <col min="7947" max="7949" width="18.6640625" style="276" customWidth="1"/>
    <col min="7950" max="7957" width="15.88671875" style="276" customWidth="1"/>
    <col min="7958" max="8192" width="9.109375" style="276"/>
    <col min="8193" max="8193" width="26.6640625" style="276" customWidth="1"/>
    <col min="8194" max="8195" width="18.6640625" style="276" customWidth="1"/>
    <col min="8196" max="8196" width="27.6640625" style="276" customWidth="1"/>
    <col min="8197" max="8197" width="15.6640625" style="276" customWidth="1"/>
    <col min="8198" max="8199" width="12.6640625" style="276" customWidth="1"/>
    <col min="8200" max="8200" width="17.6640625" style="276" customWidth="1"/>
    <col min="8201" max="8202" width="15.6640625" style="276" customWidth="1"/>
    <col min="8203" max="8205" width="18.6640625" style="276" customWidth="1"/>
    <col min="8206" max="8213" width="15.88671875" style="276" customWidth="1"/>
    <col min="8214" max="8448" width="9.109375" style="276"/>
    <col min="8449" max="8449" width="26.6640625" style="276" customWidth="1"/>
    <col min="8450" max="8451" width="18.6640625" style="276" customWidth="1"/>
    <col min="8452" max="8452" width="27.6640625" style="276" customWidth="1"/>
    <col min="8453" max="8453" width="15.6640625" style="276" customWidth="1"/>
    <col min="8454" max="8455" width="12.6640625" style="276" customWidth="1"/>
    <col min="8456" max="8456" width="17.6640625" style="276" customWidth="1"/>
    <col min="8457" max="8458" width="15.6640625" style="276" customWidth="1"/>
    <col min="8459" max="8461" width="18.6640625" style="276" customWidth="1"/>
    <col min="8462" max="8469" width="15.88671875" style="276" customWidth="1"/>
    <col min="8470" max="8704" width="9.109375" style="276"/>
    <col min="8705" max="8705" width="26.6640625" style="276" customWidth="1"/>
    <col min="8706" max="8707" width="18.6640625" style="276" customWidth="1"/>
    <col min="8708" max="8708" width="27.6640625" style="276" customWidth="1"/>
    <col min="8709" max="8709" width="15.6640625" style="276" customWidth="1"/>
    <col min="8710" max="8711" width="12.6640625" style="276" customWidth="1"/>
    <col min="8712" max="8712" width="17.6640625" style="276" customWidth="1"/>
    <col min="8713" max="8714" width="15.6640625" style="276" customWidth="1"/>
    <col min="8715" max="8717" width="18.6640625" style="276" customWidth="1"/>
    <col min="8718" max="8725" width="15.88671875" style="276" customWidth="1"/>
    <col min="8726" max="8960" width="9.109375" style="276"/>
    <col min="8961" max="8961" width="26.6640625" style="276" customWidth="1"/>
    <col min="8962" max="8963" width="18.6640625" style="276" customWidth="1"/>
    <col min="8964" max="8964" width="27.6640625" style="276" customWidth="1"/>
    <col min="8965" max="8965" width="15.6640625" style="276" customWidth="1"/>
    <col min="8966" max="8967" width="12.6640625" style="276" customWidth="1"/>
    <col min="8968" max="8968" width="17.6640625" style="276" customWidth="1"/>
    <col min="8969" max="8970" width="15.6640625" style="276" customWidth="1"/>
    <col min="8971" max="8973" width="18.6640625" style="276" customWidth="1"/>
    <col min="8974" max="8981" width="15.88671875" style="276" customWidth="1"/>
    <col min="8982" max="9216" width="9.109375" style="276"/>
    <col min="9217" max="9217" width="26.6640625" style="276" customWidth="1"/>
    <col min="9218" max="9219" width="18.6640625" style="276" customWidth="1"/>
    <col min="9220" max="9220" width="27.6640625" style="276" customWidth="1"/>
    <col min="9221" max="9221" width="15.6640625" style="276" customWidth="1"/>
    <col min="9222" max="9223" width="12.6640625" style="276" customWidth="1"/>
    <col min="9224" max="9224" width="17.6640625" style="276" customWidth="1"/>
    <col min="9225" max="9226" width="15.6640625" style="276" customWidth="1"/>
    <col min="9227" max="9229" width="18.6640625" style="276" customWidth="1"/>
    <col min="9230" max="9237" width="15.88671875" style="276" customWidth="1"/>
    <col min="9238" max="9472" width="9.109375" style="276"/>
    <col min="9473" max="9473" width="26.6640625" style="276" customWidth="1"/>
    <col min="9474" max="9475" width="18.6640625" style="276" customWidth="1"/>
    <col min="9476" max="9476" width="27.6640625" style="276" customWidth="1"/>
    <col min="9477" max="9477" width="15.6640625" style="276" customWidth="1"/>
    <col min="9478" max="9479" width="12.6640625" style="276" customWidth="1"/>
    <col min="9480" max="9480" width="17.6640625" style="276" customWidth="1"/>
    <col min="9481" max="9482" width="15.6640625" style="276" customWidth="1"/>
    <col min="9483" max="9485" width="18.6640625" style="276" customWidth="1"/>
    <col min="9486" max="9493" width="15.88671875" style="276" customWidth="1"/>
    <col min="9494" max="9728" width="9.109375" style="276"/>
    <col min="9729" max="9729" width="26.6640625" style="276" customWidth="1"/>
    <col min="9730" max="9731" width="18.6640625" style="276" customWidth="1"/>
    <col min="9732" max="9732" width="27.6640625" style="276" customWidth="1"/>
    <col min="9733" max="9733" width="15.6640625" style="276" customWidth="1"/>
    <col min="9734" max="9735" width="12.6640625" style="276" customWidth="1"/>
    <col min="9736" max="9736" width="17.6640625" style="276" customWidth="1"/>
    <col min="9737" max="9738" width="15.6640625" style="276" customWidth="1"/>
    <col min="9739" max="9741" width="18.6640625" style="276" customWidth="1"/>
    <col min="9742" max="9749" width="15.88671875" style="276" customWidth="1"/>
    <col min="9750" max="9984" width="9.109375" style="276"/>
    <col min="9985" max="9985" width="26.6640625" style="276" customWidth="1"/>
    <col min="9986" max="9987" width="18.6640625" style="276" customWidth="1"/>
    <col min="9988" max="9988" width="27.6640625" style="276" customWidth="1"/>
    <col min="9989" max="9989" width="15.6640625" style="276" customWidth="1"/>
    <col min="9990" max="9991" width="12.6640625" style="276" customWidth="1"/>
    <col min="9992" max="9992" width="17.6640625" style="276" customWidth="1"/>
    <col min="9993" max="9994" width="15.6640625" style="276" customWidth="1"/>
    <col min="9995" max="9997" width="18.6640625" style="276" customWidth="1"/>
    <col min="9998" max="10005" width="15.88671875" style="276" customWidth="1"/>
    <col min="10006" max="10240" width="9.109375" style="276"/>
    <col min="10241" max="10241" width="26.6640625" style="276" customWidth="1"/>
    <col min="10242" max="10243" width="18.6640625" style="276" customWidth="1"/>
    <col min="10244" max="10244" width="27.6640625" style="276" customWidth="1"/>
    <col min="10245" max="10245" width="15.6640625" style="276" customWidth="1"/>
    <col min="10246" max="10247" width="12.6640625" style="276" customWidth="1"/>
    <col min="10248" max="10248" width="17.6640625" style="276" customWidth="1"/>
    <col min="10249" max="10250" width="15.6640625" style="276" customWidth="1"/>
    <col min="10251" max="10253" width="18.6640625" style="276" customWidth="1"/>
    <col min="10254" max="10261" width="15.88671875" style="276" customWidth="1"/>
    <col min="10262" max="10496" width="9.109375" style="276"/>
    <col min="10497" max="10497" width="26.6640625" style="276" customWidth="1"/>
    <col min="10498" max="10499" width="18.6640625" style="276" customWidth="1"/>
    <col min="10500" max="10500" width="27.6640625" style="276" customWidth="1"/>
    <col min="10501" max="10501" width="15.6640625" style="276" customWidth="1"/>
    <col min="10502" max="10503" width="12.6640625" style="276" customWidth="1"/>
    <col min="10504" max="10504" width="17.6640625" style="276" customWidth="1"/>
    <col min="10505" max="10506" width="15.6640625" style="276" customWidth="1"/>
    <col min="10507" max="10509" width="18.6640625" style="276" customWidth="1"/>
    <col min="10510" max="10517" width="15.88671875" style="276" customWidth="1"/>
    <col min="10518" max="10752" width="9.109375" style="276"/>
    <col min="10753" max="10753" width="26.6640625" style="276" customWidth="1"/>
    <col min="10754" max="10755" width="18.6640625" style="276" customWidth="1"/>
    <col min="10756" max="10756" width="27.6640625" style="276" customWidth="1"/>
    <col min="10757" max="10757" width="15.6640625" style="276" customWidth="1"/>
    <col min="10758" max="10759" width="12.6640625" style="276" customWidth="1"/>
    <col min="10760" max="10760" width="17.6640625" style="276" customWidth="1"/>
    <col min="10761" max="10762" width="15.6640625" style="276" customWidth="1"/>
    <col min="10763" max="10765" width="18.6640625" style="276" customWidth="1"/>
    <col min="10766" max="10773" width="15.88671875" style="276" customWidth="1"/>
    <col min="10774" max="11008" width="9.109375" style="276"/>
    <col min="11009" max="11009" width="26.6640625" style="276" customWidth="1"/>
    <col min="11010" max="11011" width="18.6640625" style="276" customWidth="1"/>
    <col min="11012" max="11012" width="27.6640625" style="276" customWidth="1"/>
    <col min="11013" max="11013" width="15.6640625" style="276" customWidth="1"/>
    <col min="11014" max="11015" width="12.6640625" style="276" customWidth="1"/>
    <col min="11016" max="11016" width="17.6640625" style="276" customWidth="1"/>
    <col min="11017" max="11018" width="15.6640625" style="276" customWidth="1"/>
    <col min="11019" max="11021" width="18.6640625" style="276" customWidth="1"/>
    <col min="11022" max="11029" width="15.88671875" style="276" customWidth="1"/>
    <col min="11030" max="11264" width="9.109375" style="276"/>
    <col min="11265" max="11265" width="26.6640625" style="276" customWidth="1"/>
    <col min="11266" max="11267" width="18.6640625" style="276" customWidth="1"/>
    <col min="11268" max="11268" width="27.6640625" style="276" customWidth="1"/>
    <col min="11269" max="11269" width="15.6640625" style="276" customWidth="1"/>
    <col min="11270" max="11271" width="12.6640625" style="276" customWidth="1"/>
    <col min="11272" max="11272" width="17.6640625" style="276" customWidth="1"/>
    <col min="11273" max="11274" width="15.6640625" style="276" customWidth="1"/>
    <col min="11275" max="11277" width="18.6640625" style="276" customWidth="1"/>
    <col min="11278" max="11285" width="15.88671875" style="276" customWidth="1"/>
    <col min="11286" max="11520" width="9.109375" style="276"/>
    <col min="11521" max="11521" width="26.6640625" style="276" customWidth="1"/>
    <col min="11522" max="11523" width="18.6640625" style="276" customWidth="1"/>
    <col min="11524" max="11524" width="27.6640625" style="276" customWidth="1"/>
    <col min="11525" max="11525" width="15.6640625" style="276" customWidth="1"/>
    <col min="11526" max="11527" width="12.6640625" style="276" customWidth="1"/>
    <col min="11528" max="11528" width="17.6640625" style="276" customWidth="1"/>
    <col min="11529" max="11530" width="15.6640625" style="276" customWidth="1"/>
    <col min="11531" max="11533" width="18.6640625" style="276" customWidth="1"/>
    <col min="11534" max="11541" width="15.88671875" style="276" customWidth="1"/>
    <col min="11542" max="11776" width="9.109375" style="276"/>
    <col min="11777" max="11777" width="26.6640625" style="276" customWidth="1"/>
    <col min="11778" max="11779" width="18.6640625" style="276" customWidth="1"/>
    <col min="11780" max="11780" width="27.6640625" style="276" customWidth="1"/>
    <col min="11781" max="11781" width="15.6640625" style="276" customWidth="1"/>
    <col min="11782" max="11783" width="12.6640625" style="276" customWidth="1"/>
    <col min="11784" max="11784" width="17.6640625" style="276" customWidth="1"/>
    <col min="11785" max="11786" width="15.6640625" style="276" customWidth="1"/>
    <col min="11787" max="11789" width="18.6640625" style="276" customWidth="1"/>
    <col min="11790" max="11797" width="15.88671875" style="276" customWidth="1"/>
    <col min="11798" max="12032" width="9.109375" style="276"/>
    <col min="12033" max="12033" width="26.6640625" style="276" customWidth="1"/>
    <col min="12034" max="12035" width="18.6640625" style="276" customWidth="1"/>
    <col min="12036" max="12036" width="27.6640625" style="276" customWidth="1"/>
    <col min="12037" max="12037" width="15.6640625" style="276" customWidth="1"/>
    <col min="12038" max="12039" width="12.6640625" style="276" customWidth="1"/>
    <col min="12040" max="12040" width="17.6640625" style="276" customWidth="1"/>
    <col min="12041" max="12042" width="15.6640625" style="276" customWidth="1"/>
    <col min="12043" max="12045" width="18.6640625" style="276" customWidth="1"/>
    <col min="12046" max="12053" width="15.88671875" style="276" customWidth="1"/>
    <col min="12054" max="12288" width="9.109375" style="276"/>
    <col min="12289" max="12289" width="26.6640625" style="276" customWidth="1"/>
    <col min="12290" max="12291" width="18.6640625" style="276" customWidth="1"/>
    <col min="12292" max="12292" width="27.6640625" style="276" customWidth="1"/>
    <col min="12293" max="12293" width="15.6640625" style="276" customWidth="1"/>
    <col min="12294" max="12295" width="12.6640625" style="276" customWidth="1"/>
    <col min="12296" max="12296" width="17.6640625" style="276" customWidth="1"/>
    <col min="12297" max="12298" width="15.6640625" style="276" customWidth="1"/>
    <col min="12299" max="12301" width="18.6640625" style="276" customWidth="1"/>
    <col min="12302" max="12309" width="15.88671875" style="276" customWidth="1"/>
    <col min="12310" max="12544" width="9.109375" style="276"/>
    <col min="12545" max="12545" width="26.6640625" style="276" customWidth="1"/>
    <col min="12546" max="12547" width="18.6640625" style="276" customWidth="1"/>
    <col min="12548" max="12548" width="27.6640625" style="276" customWidth="1"/>
    <col min="12549" max="12549" width="15.6640625" style="276" customWidth="1"/>
    <col min="12550" max="12551" width="12.6640625" style="276" customWidth="1"/>
    <col min="12552" max="12552" width="17.6640625" style="276" customWidth="1"/>
    <col min="12553" max="12554" width="15.6640625" style="276" customWidth="1"/>
    <col min="12555" max="12557" width="18.6640625" style="276" customWidth="1"/>
    <col min="12558" max="12565" width="15.88671875" style="276" customWidth="1"/>
    <col min="12566" max="12800" width="9.109375" style="276"/>
    <col min="12801" max="12801" width="26.6640625" style="276" customWidth="1"/>
    <col min="12802" max="12803" width="18.6640625" style="276" customWidth="1"/>
    <col min="12804" max="12804" width="27.6640625" style="276" customWidth="1"/>
    <col min="12805" max="12805" width="15.6640625" style="276" customWidth="1"/>
    <col min="12806" max="12807" width="12.6640625" style="276" customWidth="1"/>
    <col min="12808" max="12808" width="17.6640625" style="276" customWidth="1"/>
    <col min="12809" max="12810" width="15.6640625" style="276" customWidth="1"/>
    <col min="12811" max="12813" width="18.6640625" style="276" customWidth="1"/>
    <col min="12814" max="12821" width="15.88671875" style="276" customWidth="1"/>
    <col min="12822" max="13056" width="9.109375" style="276"/>
    <col min="13057" max="13057" width="26.6640625" style="276" customWidth="1"/>
    <col min="13058" max="13059" width="18.6640625" style="276" customWidth="1"/>
    <col min="13060" max="13060" width="27.6640625" style="276" customWidth="1"/>
    <col min="13061" max="13061" width="15.6640625" style="276" customWidth="1"/>
    <col min="13062" max="13063" width="12.6640625" style="276" customWidth="1"/>
    <col min="13064" max="13064" width="17.6640625" style="276" customWidth="1"/>
    <col min="13065" max="13066" width="15.6640625" style="276" customWidth="1"/>
    <col min="13067" max="13069" width="18.6640625" style="276" customWidth="1"/>
    <col min="13070" max="13077" width="15.88671875" style="276" customWidth="1"/>
    <col min="13078" max="13312" width="9.109375" style="276"/>
    <col min="13313" max="13313" width="26.6640625" style="276" customWidth="1"/>
    <col min="13314" max="13315" width="18.6640625" style="276" customWidth="1"/>
    <col min="13316" max="13316" width="27.6640625" style="276" customWidth="1"/>
    <col min="13317" max="13317" width="15.6640625" style="276" customWidth="1"/>
    <col min="13318" max="13319" width="12.6640625" style="276" customWidth="1"/>
    <col min="13320" max="13320" width="17.6640625" style="276" customWidth="1"/>
    <col min="13321" max="13322" width="15.6640625" style="276" customWidth="1"/>
    <col min="13323" max="13325" width="18.6640625" style="276" customWidth="1"/>
    <col min="13326" max="13333" width="15.88671875" style="276" customWidth="1"/>
    <col min="13334" max="13568" width="9.109375" style="276"/>
    <col min="13569" max="13569" width="26.6640625" style="276" customWidth="1"/>
    <col min="13570" max="13571" width="18.6640625" style="276" customWidth="1"/>
    <col min="13572" max="13572" width="27.6640625" style="276" customWidth="1"/>
    <col min="13573" max="13573" width="15.6640625" style="276" customWidth="1"/>
    <col min="13574" max="13575" width="12.6640625" style="276" customWidth="1"/>
    <col min="13576" max="13576" width="17.6640625" style="276" customWidth="1"/>
    <col min="13577" max="13578" width="15.6640625" style="276" customWidth="1"/>
    <col min="13579" max="13581" width="18.6640625" style="276" customWidth="1"/>
    <col min="13582" max="13589" width="15.88671875" style="276" customWidth="1"/>
    <col min="13590" max="13824" width="9.109375" style="276"/>
    <col min="13825" max="13825" width="26.6640625" style="276" customWidth="1"/>
    <col min="13826" max="13827" width="18.6640625" style="276" customWidth="1"/>
    <col min="13828" max="13828" width="27.6640625" style="276" customWidth="1"/>
    <col min="13829" max="13829" width="15.6640625" style="276" customWidth="1"/>
    <col min="13830" max="13831" width="12.6640625" style="276" customWidth="1"/>
    <col min="13832" max="13832" width="17.6640625" style="276" customWidth="1"/>
    <col min="13833" max="13834" width="15.6640625" style="276" customWidth="1"/>
    <col min="13835" max="13837" width="18.6640625" style="276" customWidth="1"/>
    <col min="13838" max="13845" width="15.88671875" style="276" customWidth="1"/>
    <col min="13846" max="14080" width="9.109375" style="276"/>
    <col min="14081" max="14081" width="26.6640625" style="276" customWidth="1"/>
    <col min="14082" max="14083" width="18.6640625" style="276" customWidth="1"/>
    <col min="14084" max="14084" width="27.6640625" style="276" customWidth="1"/>
    <col min="14085" max="14085" width="15.6640625" style="276" customWidth="1"/>
    <col min="14086" max="14087" width="12.6640625" style="276" customWidth="1"/>
    <col min="14088" max="14088" width="17.6640625" style="276" customWidth="1"/>
    <col min="14089" max="14090" width="15.6640625" style="276" customWidth="1"/>
    <col min="14091" max="14093" width="18.6640625" style="276" customWidth="1"/>
    <col min="14094" max="14101" width="15.88671875" style="276" customWidth="1"/>
    <col min="14102" max="14336" width="9.109375" style="276"/>
    <col min="14337" max="14337" width="26.6640625" style="276" customWidth="1"/>
    <col min="14338" max="14339" width="18.6640625" style="276" customWidth="1"/>
    <col min="14340" max="14340" width="27.6640625" style="276" customWidth="1"/>
    <col min="14341" max="14341" width="15.6640625" style="276" customWidth="1"/>
    <col min="14342" max="14343" width="12.6640625" style="276" customWidth="1"/>
    <col min="14344" max="14344" width="17.6640625" style="276" customWidth="1"/>
    <col min="14345" max="14346" width="15.6640625" style="276" customWidth="1"/>
    <col min="14347" max="14349" width="18.6640625" style="276" customWidth="1"/>
    <col min="14350" max="14357" width="15.88671875" style="276" customWidth="1"/>
    <col min="14358" max="14592" width="9.109375" style="276"/>
    <col min="14593" max="14593" width="26.6640625" style="276" customWidth="1"/>
    <col min="14594" max="14595" width="18.6640625" style="276" customWidth="1"/>
    <col min="14596" max="14596" width="27.6640625" style="276" customWidth="1"/>
    <col min="14597" max="14597" width="15.6640625" style="276" customWidth="1"/>
    <col min="14598" max="14599" width="12.6640625" style="276" customWidth="1"/>
    <col min="14600" max="14600" width="17.6640625" style="276" customWidth="1"/>
    <col min="14601" max="14602" width="15.6640625" style="276" customWidth="1"/>
    <col min="14603" max="14605" width="18.6640625" style="276" customWidth="1"/>
    <col min="14606" max="14613" width="15.88671875" style="276" customWidth="1"/>
    <col min="14614" max="14848" width="9.109375" style="276"/>
    <col min="14849" max="14849" width="26.6640625" style="276" customWidth="1"/>
    <col min="14850" max="14851" width="18.6640625" style="276" customWidth="1"/>
    <col min="14852" max="14852" width="27.6640625" style="276" customWidth="1"/>
    <col min="14853" max="14853" width="15.6640625" style="276" customWidth="1"/>
    <col min="14854" max="14855" width="12.6640625" style="276" customWidth="1"/>
    <col min="14856" max="14856" width="17.6640625" style="276" customWidth="1"/>
    <col min="14857" max="14858" width="15.6640625" style="276" customWidth="1"/>
    <col min="14859" max="14861" width="18.6640625" style="276" customWidth="1"/>
    <col min="14862" max="14869" width="15.88671875" style="276" customWidth="1"/>
    <col min="14870" max="15104" width="9.109375" style="276"/>
    <col min="15105" max="15105" width="26.6640625" style="276" customWidth="1"/>
    <col min="15106" max="15107" width="18.6640625" style="276" customWidth="1"/>
    <col min="15108" max="15108" width="27.6640625" style="276" customWidth="1"/>
    <col min="15109" max="15109" width="15.6640625" style="276" customWidth="1"/>
    <col min="15110" max="15111" width="12.6640625" style="276" customWidth="1"/>
    <col min="15112" max="15112" width="17.6640625" style="276" customWidth="1"/>
    <col min="15113" max="15114" width="15.6640625" style="276" customWidth="1"/>
    <col min="15115" max="15117" width="18.6640625" style="276" customWidth="1"/>
    <col min="15118" max="15125" width="15.88671875" style="276" customWidth="1"/>
    <col min="15126" max="15360" width="9.109375" style="276"/>
    <col min="15361" max="15361" width="26.6640625" style="276" customWidth="1"/>
    <col min="15362" max="15363" width="18.6640625" style="276" customWidth="1"/>
    <col min="15364" max="15364" width="27.6640625" style="276" customWidth="1"/>
    <col min="15365" max="15365" width="15.6640625" style="276" customWidth="1"/>
    <col min="15366" max="15367" width="12.6640625" style="276" customWidth="1"/>
    <col min="15368" max="15368" width="17.6640625" style="276" customWidth="1"/>
    <col min="15369" max="15370" width="15.6640625" style="276" customWidth="1"/>
    <col min="15371" max="15373" width="18.6640625" style="276" customWidth="1"/>
    <col min="15374" max="15381" width="15.88671875" style="276" customWidth="1"/>
    <col min="15382" max="15616" width="9.109375" style="276"/>
    <col min="15617" max="15617" width="26.6640625" style="276" customWidth="1"/>
    <col min="15618" max="15619" width="18.6640625" style="276" customWidth="1"/>
    <col min="15620" max="15620" width="27.6640625" style="276" customWidth="1"/>
    <col min="15621" max="15621" width="15.6640625" style="276" customWidth="1"/>
    <col min="15622" max="15623" width="12.6640625" style="276" customWidth="1"/>
    <col min="15624" max="15624" width="17.6640625" style="276" customWidth="1"/>
    <col min="15625" max="15626" width="15.6640625" style="276" customWidth="1"/>
    <col min="15627" max="15629" width="18.6640625" style="276" customWidth="1"/>
    <col min="15630" max="15637" width="15.88671875" style="276" customWidth="1"/>
    <col min="15638" max="15872" width="9.109375" style="276"/>
    <col min="15873" max="15873" width="26.6640625" style="276" customWidth="1"/>
    <col min="15874" max="15875" width="18.6640625" style="276" customWidth="1"/>
    <col min="15876" max="15876" width="27.6640625" style="276" customWidth="1"/>
    <col min="15877" max="15877" width="15.6640625" style="276" customWidth="1"/>
    <col min="15878" max="15879" width="12.6640625" style="276" customWidth="1"/>
    <col min="15880" max="15880" width="17.6640625" style="276" customWidth="1"/>
    <col min="15881" max="15882" width="15.6640625" style="276" customWidth="1"/>
    <col min="15883" max="15885" width="18.6640625" style="276" customWidth="1"/>
    <col min="15886" max="15893" width="15.88671875" style="276" customWidth="1"/>
    <col min="15894" max="16128" width="9.109375" style="276"/>
    <col min="16129" max="16129" width="26.6640625" style="276" customWidth="1"/>
    <col min="16130" max="16131" width="18.6640625" style="276" customWidth="1"/>
    <col min="16132" max="16132" width="27.6640625" style="276" customWidth="1"/>
    <col min="16133" max="16133" width="15.6640625" style="276" customWidth="1"/>
    <col min="16134" max="16135" width="12.6640625" style="276" customWidth="1"/>
    <col min="16136" max="16136" width="17.6640625" style="276" customWidth="1"/>
    <col min="16137" max="16138" width="15.6640625" style="276" customWidth="1"/>
    <col min="16139" max="16141" width="18.6640625" style="276" customWidth="1"/>
    <col min="16142" max="16149" width="15.88671875" style="276" customWidth="1"/>
    <col min="16150" max="16384" width="9.109375" style="276"/>
  </cols>
  <sheetData>
    <row r="1" spans="1:21" ht="17.399999999999999" x14ac:dyDescent="0.3">
      <c r="A1" s="542" t="s">
        <v>60</v>
      </c>
      <c r="B1" s="543"/>
      <c r="C1" s="543"/>
      <c r="D1" s="543"/>
      <c r="E1" s="543"/>
      <c r="F1" s="543"/>
      <c r="G1" s="543"/>
      <c r="H1" s="543"/>
      <c r="I1" s="543"/>
      <c r="J1" s="544"/>
      <c r="K1" s="542" t="s">
        <v>60</v>
      </c>
      <c r="L1" s="543"/>
      <c r="M1" s="543"/>
      <c r="N1" s="543"/>
      <c r="O1" s="543"/>
      <c r="P1" s="543"/>
      <c r="Q1" s="543"/>
      <c r="R1" s="543"/>
      <c r="S1" s="543"/>
      <c r="T1" s="543"/>
      <c r="U1" s="544"/>
    </row>
    <row r="2" spans="1:21" ht="17.399999999999999" x14ac:dyDescent="0.3">
      <c r="A2" s="545" t="s">
        <v>239</v>
      </c>
      <c r="B2" s="546"/>
      <c r="C2" s="546"/>
      <c r="D2" s="546"/>
      <c r="E2" s="546"/>
      <c r="F2" s="546"/>
      <c r="G2" s="546"/>
      <c r="H2" s="546"/>
      <c r="I2" s="546"/>
      <c r="J2" s="547"/>
      <c r="K2" s="545" t="s">
        <v>238</v>
      </c>
      <c r="L2" s="546"/>
      <c r="M2" s="546"/>
      <c r="N2" s="546"/>
      <c r="O2" s="546"/>
      <c r="P2" s="546"/>
      <c r="Q2" s="546"/>
      <c r="R2" s="546"/>
      <c r="S2" s="546"/>
      <c r="T2" s="546"/>
      <c r="U2" s="547"/>
    </row>
    <row r="3" spans="1:21" x14ac:dyDescent="0.3">
      <c r="A3" s="389"/>
      <c r="B3" s="387"/>
      <c r="C3" s="388"/>
      <c r="D3" s="548" t="s">
        <v>237</v>
      </c>
      <c r="E3" s="548"/>
      <c r="F3" s="548"/>
      <c r="G3" s="388"/>
      <c r="H3" s="387"/>
      <c r="I3" s="387"/>
      <c r="J3" s="386"/>
      <c r="K3" s="389"/>
      <c r="L3" s="387"/>
      <c r="M3" s="388"/>
      <c r="N3" s="548" t="s">
        <v>237</v>
      </c>
      <c r="O3" s="548"/>
      <c r="P3" s="548"/>
      <c r="Q3" s="548"/>
      <c r="R3" s="388"/>
      <c r="S3" s="388"/>
      <c r="T3" s="387"/>
      <c r="U3" s="386"/>
    </row>
    <row r="4" spans="1:21" x14ac:dyDescent="0.3">
      <c r="A4" s="385"/>
      <c r="B4" s="384"/>
      <c r="C4" s="384"/>
      <c r="D4" s="384"/>
      <c r="E4" s="384"/>
      <c r="F4" s="522" t="s">
        <v>70</v>
      </c>
      <c r="G4" s="522"/>
      <c r="H4" s="522"/>
      <c r="I4" s="522"/>
      <c r="J4" s="523"/>
      <c r="K4" s="383"/>
      <c r="L4" s="382"/>
      <c r="M4" s="382"/>
      <c r="N4" s="382"/>
      <c r="O4" s="382"/>
      <c r="P4" s="382"/>
      <c r="Q4" s="382"/>
      <c r="R4" s="382"/>
      <c r="S4" s="382"/>
      <c r="T4" s="382"/>
      <c r="U4" s="381"/>
    </row>
    <row r="5" spans="1:21" ht="15" customHeight="1" x14ac:dyDescent="0.3">
      <c r="A5" s="350" t="s">
        <v>71</v>
      </c>
      <c r="B5" s="524" t="s">
        <v>72</v>
      </c>
      <c r="C5" s="525"/>
      <c r="D5" s="354" t="s">
        <v>73</v>
      </c>
      <c r="E5" s="352"/>
      <c r="F5" s="354" t="s">
        <v>74</v>
      </c>
      <c r="G5" s="353"/>
      <c r="H5" s="315" t="s">
        <v>75</v>
      </c>
      <c r="I5" s="305" t="s">
        <v>70</v>
      </c>
      <c r="J5" s="305"/>
      <c r="K5" s="350" t="s">
        <v>71</v>
      </c>
      <c r="L5" s="526" t="s">
        <v>72</v>
      </c>
      <c r="M5" s="527"/>
      <c r="N5" s="354" t="s">
        <v>76</v>
      </c>
      <c r="O5" s="353"/>
      <c r="P5" s="528" t="s">
        <v>236</v>
      </c>
      <c r="Q5" s="529"/>
      <c r="R5" s="529"/>
      <c r="S5" s="529"/>
      <c r="T5" s="529"/>
      <c r="U5" s="530"/>
    </row>
    <row r="6" spans="1:21" x14ac:dyDescent="0.3">
      <c r="A6" s="297" t="s">
        <v>77</v>
      </c>
      <c r="B6" s="537" t="s">
        <v>78</v>
      </c>
      <c r="C6" s="538"/>
      <c r="D6" s="380" t="s">
        <v>79</v>
      </c>
      <c r="E6" s="379">
        <v>0.98450099999999996</v>
      </c>
      <c r="F6" s="366" t="s">
        <v>194</v>
      </c>
      <c r="G6" s="347"/>
      <c r="H6" s="378">
        <v>71.066961739409692</v>
      </c>
      <c r="I6" s="377" t="s">
        <v>70</v>
      </c>
      <c r="J6" s="376"/>
      <c r="K6" s="297" t="s">
        <v>77</v>
      </c>
      <c r="L6" s="539" t="s">
        <v>78</v>
      </c>
      <c r="M6" s="511"/>
      <c r="N6" s="375">
        <v>54565.005498276318</v>
      </c>
      <c r="O6" s="374"/>
      <c r="P6" s="531"/>
      <c r="Q6" s="532"/>
      <c r="R6" s="532"/>
      <c r="S6" s="532"/>
      <c r="T6" s="532"/>
      <c r="U6" s="533"/>
    </row>
    <row r="7" spans="1:21" x14ac:dyDescent="0.3">
      <c r="A7" s="297" t="s">
        <v>80</v>
      </c>
      <c r="B7" s="510" t="s">
        <v>81</v>
      </c>
      <c r="C7" s="511"/>
      <c r="D7" s="362" t="s">
        <v>82</v>
      </c>
      <c r="E7" s="292">
        <v>1056.691</v>
      </c>
      <c r="F7" s="366" t="s">
        <v>195</v>
      </c>
      <c r="G7" s="347"/>
      <c r="H7" s="365">
        <v>59.557917950591019</v>
      </c>
      <c r="I7" s="373" t="s">
        <v>70</v>
      </c>
      <c r="J7" s="372"/>
      <c r="K7" s="371" t="s">
        <v>80</v>
      </c>
      <c r="L7" s="540" t="s">
        <v>81</v>
      </c>
      <c r="M7" s="541"/>
      <c r="N7" s="354"/>
      <c r="O7" s="353"/>
      <c r="P7" s="534"/>
      <c r="Q7" s="535"/>
      <c r="R7" s="535"/>
      <c r="S7" s="535"/>
      <c r="T7" s="535"/>
      <c r="U7" s="536"/>
    </row>
    <row r="8" spans="1:21" ht="15.6" x14ac:dyDescent="0.3">
      <c r="A8" s="297" t="s">
        <v>83</v>
      </c>
      <c r="B8" s="508" t="s">
        <v>196</v>
      </c>
      <c r="C8" s="509"/>
      <c r="D8" s="362" t="s">
        <v>84</v>
      </c>
      <c r="E8" s="292">
        <v>2071.11436</v>
      </c>
      <c r="F8" s="366"/>
      <c r="G8" s="347"/>
      <c r="H8" s="305" t="s">
        <v>85</v>
      </c>
      <c r="I8" s="370" t="s">
        <v>70</v>
      </c>
      <c r="J8" s="305" t="s">
        <v>86</v>
      </c>
      <c r="K8" s="369"/>
      <c r="L8" s="368"/>
      <c r="M8" s="368"/>
      <c r="N8" s="368"/>
      <c r="O8" s="368"/>
      <c r="P8" s="368"/>
      <c r="Q8" s="368"/>
      <c r="R8" s="368"/>
      <c r="S8" s="368"/>
      <c r="T8" s="368"/>
      <c r="U8" s="367"/>
    </row>
    <row r="9" spans="1:21" ht="15.6" x14ac:dyDescent="0.3">
      <c r="A9" s="297" t="s">
        <v>87</v>
      </c>
      <c r="B9" s="508" t="s">
        <v>88</v>
      </c>
      <c r="C9" s="509"/>
      <c r="D9" s="362" t="s">
        <v>89</v>
      </c>
      <c r="E9" s="296">
        <v>54565.005498276318</v>
      </c>
      <c r="F9" s="366" t="s">
        <v>90</v>
      </c>
      <c r="G9" s="347"/>
      <c r="H9" s="365">
        <v>60.4</v>
      </c>
      <c r="I9" s="364">
        <v>37644</v>
      </c>
      <c r="J9" s="363">
        <v>45037</v>
      </c>
      <c r="K9" s="505" t="s">
        <v>91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</row>
    <row r="10" spans="1:21" x14ac:dyDescent="0.3">
      <c r="A10" s="297" t="s">
        <v>92</v>
      </c>
      <c r="B10" s="510" t="s">
        <v>93</v>
      </c>
      <c r="C10" s="511"/>
      <c r="D10" s="362" t="s">
        <v>94</v>
      </c>
      <c r="E10" s="292">
        <v>0</v>
      </c>
      <c r="F10" s="361" t="s">
        <v>95</v>
      </c>
      <c r="G10" s="360"/>
      <c r="H10" s="359">
        <v>54.8</v>
      </c>
      <c r="I10" s="358">
        <v>42011</v>
      </c>
      <c r="J10" s="357">
        <v>39370</v>
      </c>
      <c r="K10" s="321"/>
      <c r="L10" s="319" t="s">
        <v>96</v>
      </c>
      <c r="M10" s="320"/>
      <c r="N10" s="319" t="s">
        <v>97</v>
      </c>
      <c r="O10" s="320"/>
      <c r="P10" s="319" t="s">
        <v>98</v>
      </c>
      <c r="Q10" s="320"/>
      <c r="R10" s="319" t="s">
        <v>99</v>
      </c>
      <c r="S10" s="320"/>
      <c r="T10" s="319" t="s">
        <v>100</v>
      </c>
      <c r="U10" s="318"/>
    </row>
    <row r="11" spans="1:21" ht="15" customHeight="1" x14ac:dyDescent="0.3">
      <c r="A11" s="512" t="s">
        <v>235</v>
      </c>
      <c r="B11" s="513"/>
      <c r="C11" s="514"/>
      <c r="D11" s="356" t="s">
        <v>101</v>
      </c>
      <c r="E11" s="355">
        <v>54565.005498276318</v>
      </c>
      <c r="F11" s="354" t="s">
        <v>102</v>
      </c>
      <c r="G11" s="353"/>
      <c r="H11" s="315" t="s">
        <v>103</v>
      </c>
      <c r="I11" s="305" t="s">
        <v>104</v>
      </c>
      <c r="J11" s="305" t="s">
        <v>105</v>
      </c>
      <c r="K11" s="316" t="s">
        <v>106</v>
      </c>
      <c r="L11" s="315" t="s">
        <v>107</v>
      </c>
      <c r="M11" s="315" t="s">
        <v>48</v>
      </c>
      <c r="N11" s="315" t="s">
        <v>107</v>
      </c>
      <c r="O11" s="315" t="s">
        <v>48</v>
      </c>
      <c r="P11" s="315" t="s">
        <v>107</v>
      </c>
      <c r="Q11" s="315" t="s">
        <v>48</v>
      </c>
      <c r="R11" s="315" t="s">
        <v>107</v>
      </c>
      <c r="S11" s="315" t="s">
        <v>48</v>
      </c>
      <c r="T11" s="315" t="s">
        <v>107</v>
      </c>
      <c r="U11" s="315" t="s">
        <v>48</v>
      </c>
    </row>
    <row r="12" spans="1:21" x14ac:dyDescent="0.3">
      <c r="A12" s="515"/>
      <c r="B12" s="516"/>
      <c r="C12" s="517"/>
      <c r="D12" s="352" t="s">
        <v>108</v>
      </c>
      <c r="E12" s="351"/>
      <c r="F12" s="350" t="s">
        <v>109</v>
      </c>
      <c r="G12" s="350"/>
      <c r="H12" s="349">
        <v>3120475.6898188773</v>
      </c>
      <c r="I12" s="349">
        <v>317100.46694140695</v>
      </c>
      <c r="J12" s="349">
        <v>3437576.1567602842</v>
      </c>
      <c r="K12" s="297" t="s">
        <v>62</v>
      </c>
      <c r="L12" s="312">
        <v>941.99999999999955</v>
      </c>
      <c r="M12" s="300">
        <v>677656.40740976064</v>
      </c>
      <c r="N12" s="312">
        <v>1036.2000000000003</v>
      </c>
      <c r="O12" s="300">
        <v>738626.99391998188</v>
      </c>
      <c r="P12" s="312">
        <v>1130.4000000000001</v>
      </c>
      <c r="Q12" s="300">
        <v>799597.580430203</v>
      </c>
      <c r="R12" s="312">
        <v>847.79999999999973</v>
      </c>
      <c r="S12" s="300">
        <v>616685.82089953951</v>
      </c>
      <c r="T12" s="312">
        <v>753.60000000000014</v>
      </c>
      <c r="U12" s="300">
        <v>555715.23438931815</v>
      </c>
    </row>
    <row r="13" spans="1:21" x14ac:dyDescent="0.3">
      <c r="A13" s="515"/>
      <c r="B13" s="516"/>
      <c r="C13" s="517"/>
      <c r="D13" s="348" t="s">
        <v>110</v>
      </c>
      <c r="E13" s="300">
        <v>54300</v>
      </c>
      <c r="F13" s="347" t="s">
        <v>111</v>
      </c>
      <c r="G13" s="297"/>
      <c r="H13" s="346">
        <v>2454639.121435334</v>
      </c>
      <c r="I13" s="346">
        <v>183587.35239544211</v>
      </c>
      <c r="J13" s="346">
        <v>2638226.4738307763</v>
      </c>
      <c r="K13" s="297" t="s">
        <v>63</v>
      </c>
      <c r="L13" s="296">
        <v>723.00000000000023</v>
      </c>
      <c r="M13" s="292">
        <v>525246.20276214927</v>
      </c>
      <c r="N13" s="296">
        <v>795.30000000000064</v>
      </c>
      <c r="O13" s="292">
        <v>572316.69229529193</v>
      </c>
      <c r="P13" s="296">
        <v>867.60000000000048</v>
      </c>
      <c r="Q13" s="292">
        <v>619387.18182843435</v>
      </c>
      <c r="R13" s="296">
        <v>650.70000000000016</v>
      </c>
      <c r="S13" s="292">
        <v>478175.71322900668</v>
      </c>
      <c r="T13" s="296">
        <v>578.40000000000043</v>
      </c>
      <c r="U13" s="292">
        <v>431105.22369586403</v>
      </c>
    </row>
    <row r="14" spans="1:21" ht="15" customHeight="1" x14ac:dyDescent="0.3">
      <c r="A14" s="515"/>
      <c r="B14" s="516"/>
      <c r="C14" s="517"/>
      <c r="D14" s="345" t="s">
        <v>112</v>
      </c>
      <c r="E14" s="292">
        <v>-265</v>
      </c>
      <c r="F14" s="521" t="s">
        <v>234</v>
      </c>
      <c r="G14" s="513"/>
      <c r="H14" s="513"/>
      <c r="I14" s="513"/>
      <c r="J14" s="514"/>
      <c r="K14" s="297" t="s">
        <v>64</v>
      </c>
      <c r="L14" s="296">
        <v>523</v>
      </c>
      <c r="M14" s="292">
        <v>373411.26062700123</v>
      </c>
      <c r="N14" s="296">
        <v>575.29999999999995</v>
      </c>
      <c r="O14" s="292">
        <v>407637.73143815057</v>
      </c>
      <c r="P14" s="296">
        <v>627.59999999999991</v>
      </c>
      <c r="Q14" s="292">
        <v>441864.20224930008</v>
      </c>
      <c r="R14" s="296">
        <v>470.7</v>
      </c>
      <c r="S14" s="292">
        <v>339184.78981585166</v>
      </c>
      <c r="T14" s="296">
        <v>418.4</v>
      </c>
      <c r="U14" s="292">
        <v>304958.31900470209</v>
      </c>
    </row>
    <row r="15" spans="1:21" x14ac:dyDescent="0.3">
      <c r="A15" s="515"/>
      <c r="B15" s="516"/>
      <c r="C15" s="517"/>
      <c r="D15" s="345" t="s">
        <v>113</v>
      </c>
      <c r="E15" s="344">
        <v>-4.8565925647780098E-3</v>
      </c>
      <c r="F15" s="515"/>
      <c r="G15" s="516"/>
      <c r="H15" s="516"/>
      <c r="I15" s="516"/>
      <c r="J15" s="517"/>
      <c r="K15" s="297" t="s">
        <v>34</v>
      </c>
      <c r="L15" s="296">
        <v>244.99999999999997</v>
      </c>
      <c r="M15" s="292">
        <v>188344.86219724576</v>
      </c>
      <c r="N15" s="296">
        <v>269.5</v>
      </c>
      <c r="O15" s="292">
        <v>205613.84626528868</v>
      </c>
      <c r="P15" s="296">
        <v>293.99999999999989</v>
      </c>
      <c r="Q15" s="292">
        <v>222882.83033333183</v>
      </c>
      <c r="R15" s="296">
        <v>220.50000000000011</v>
      </c>
      <c r="S15" s="292">
        <v>171075.8781292027</v>
      </c>
      <c r="T15" s="296">
        <v>196</v>
      </c>
      <c r="U15" s="292">
        <v>153806.89406115966</v>
      </c>
    </row>
    <row r="16" spans="1:21" x14ac:dyDescent="0.3">
      <c r="A16" s="518"/>
      <c r="B16" s="519"/>
      <c r="C16" s="520"/>
      <c r="D16" s="343"/>
      <c r="E16" s="342"/>
      <c r="F16" s="518"/>
      <c r="G16" s="519"/>
      <c r="H16" s="519"/>
      <c r="I16" s="519"/>
      <c r="J16" s="520"/>
      <c r="K16" s="297" t="s">
        <v>35</v>
      </c>
      <c r="L16" s="296">
        <v>63.999999999999972</v>
      </c>
      <c r="M16" s="292">
        <v>86528.857797400982</v>
      </c>
      <c r="N16" s="296">
        <v>70.399999999999977</v>
      </c>
      <c r="O16" s="292">
        <v>91150.25783812585</v>
      </c>
      <c r="P16" s="296">
        <v>76.800000000000054</v>
      </c>
      <c r="Q16" s="292">
        <v>95771.657878850732</v>
      </c>
      <c r="R16" s="296">
        <v>57.599999999999987</v>
      </c>
      <c r="S16" s="292">
        <v>81907.457756676129</v>
      </c>
      <c r="T16" s="296">
        <v>51.200000000000031</v>
      </c>
      <c r="U16" s="292">
        <v>77286.057715951261</v>
      </c>
    </row>
    <row r="17" spans="1:21" x14ac:dyDescent="0.3">
      <c r="A17" s="341"/>
      <c r="B17" s="338"/>
      <c r="C17" s="338"/>
      <c r="D17" s="338"/>
      <c r="E17" s="340"/>
      <c r="F17" s="339"/>
      <c r="G17" s="338"/>
      <c r="H17" s="338"/>
      <c r="I17" s="338"/>
      <c r="J17" s="337"/>
      <c r="K17" s="297" t="s">
        <v>36</v>
      </c>
      <c r="L17" s="296">
        <v>3.9999999999999987</v>
      </c>
      <c r="M17" s="292">
        <v>59993.695017603161</v>
      </c>
      <c r="N17" s="296">
        <v>4.3999999999999959</v>
      </c>
      <c r="O17" s="292">
        <v>60316.341316604579</v>
      </c>
      <c r="P17" s="296">
        <v>4.8000000000000016</v>
      </c>
      <c r="Q17" s="292">
        <v>60638.98761560602</v>
      </c>
      <c r="R17" s="296">
        <v>3.6</v>
      </c>
      <c r="S17" s="292">
        <v>59671.048718601734</v>
      </c>
      <c r="T17" s="296">
        <v>3.199999999999998</v>
      </c>
      <c r="U17" s="292">
        <v>59348.402419600301</v>
      </c>
    </row>
    <row r="18" spans="1:21" ht="15.6" x14ac:dyDescent="0.3">
      <c r="A18" s="502" t="s">
        <v>114</v>
      </c>
      <c r="B18" s="503"/>
      <c r="C18" s="503"/>
      <c r="D18" s="503"/>
      <c r="E18" s="503"/>
      <c r="F18" s="503"/>
      <c r="G18" s="503"/>
      <c r="H18" s="503"/>
      <c r="I18" s="503"/>
      <c r="J18" s="504"/>
      <c r="K18" s="297" t="s">
        <v>37</v>
      </c>
      <c r="L18" s="296">
        <v>0</v>
      </c>
      <c r="M18" s="292">
        <v>56009.432451755994</v>
      </c>
      <c r="N18" s="296">
        <v>0</v>
      </c>
      <c r="O18" s="292">
        <v>56016.656445954512</v>
      </c>
      <c r="P18" s="296">
        <v>0</v>
      </c>
      <c r="Q18" s="292">
        <v>56023.880440152992</v>
      </c>
      <c r="R18" s="296">
        <v>0</v>
      </c>
      <c r="S18" s="292">
        <v>56002.208457557506</v>
      </c>
      <c r="T18" s="296">
        <v>0</v>
      </c>
      <c r="U18" s="292">
        <v>55994.984463359026</v>
      </c>
    </row>
    <row r="19" spans="1:21" x14ac:dyDescent="0.3">
      <c r="A19" s="305" t="s">
        <v>67</v>
      </c>
      <c r="B19" s="496" t="s">
        <v>115</v>
      </c>
      <c r="C19" s="497"/>
      <c r="D19" s="498"/>
      <c r="E19" s="305" t="s">
        <v>116</v>
      </c>
      <c r="F19" s="496" t="s">
        <v>117</v>
      </c>
      <c r="G19" s="499"/>
      <c r="H19" s="500"/>
      <c r="I19" s="500"/>
      <c r="J19" s="501"/>
      <c r="K19" s="297" t="s">
        <v>38</v>
      </c>
      <c r="L19" s="296">
        <v>0.99999999999999922</v>
      </c>
      <c r="M19" s="292">
        <v>57775.601268436782</v>
      </c>
      <c r="N19" s="296">
        <v>1.1000000000000001</v>
      </c>
      <c r="O19" s="292">
        <v>57842.925141911655</v>
      </c>
      <c r="P19" s="296">
        <v>1.1999999999999988</v>
      </c>
      <c r="Q19" s="292">
        <v>57910.249015386551</v>
      </c>
      <c r="R19" s="296">
        <v>0.8999999999999998</v>
      </c>
      <c r="S19" s="292">
        <v>57708.2773949619</v>
      </c>
      <c r="T19" s="296">
        <v>0.79999999999999949</v>
      </c>
      <c r="U19" s="292">
        <v>57640.953521487027</v>
      </c>
    </row>
    <row r="20" spans="1:21" x14ac:dyDescent="0.3">
      <c r="A20" s="336" t="s">
        <v>32</v>
      </c>
      <c r="B20" s="335" t="s">
        <v>118</v>
      </c>
      <c r="C20" s="299"/>
      <c r="D20" s="334"/>
      <c r="E20" s="292">
        <v>6000</v>
      </c>
      <c r="F20" s="286" t="s">
        <v>233</v>
      </c>
      <c r="G20" s="286"/>
      <c r="H20" s="286"/>
      <c r="I20" s="286"/>
      <c r="J20" s="285"/>
      <c r="K20" s="297" t="s">
        <v>39</v>
      </c>
      <c r="L20" s="296">
        <v>38</v>
      </c>
      <c r="M20" s="292">
        <v>72167.132740721441</v>
      </c>
      <c r="N20" s="296">
        <v>41.79999999999999</v>
      </c>
      <c r="O20" s="292">
        <v>74601.14979330491</v>
      </c>
      <c r="P20" s="296">
        <v>45.6</v>
      </c>
      <c r="Q20" s="292">
        <v>77035.16684588838</v>
      </c>
      <c r="R20" s="296">
        <v>34.200000000000003</v>
      </c>
      <c r="S20" s="292">
        <v>69733.115688137943</v>
      </c>
      <c r="T20" s="296">
        <v>30.399999999999991</v>
      </c>
      <c r="U20" s="292">
        <v>67299.098635554488</v>
      </c>
    </row>
    <row r="21" spans="1:21" x14ac:dyDescent="0.3">
      <c r="A21" s="333" t="s">
        <v>119</v>
      </c>
      <c r="B21" s="332" t="s">
        <v>120</v>
      </c>
      <c r="C21" s="286"/>
      <c r="D21" s="331"/>
      <c r="E21" s="292">
        <v>44500</v>
      </c>
      <c r="F21" s="286" t="s">
        <v>166</v>
      </c>
      <c r="G21" s="286"/>
      <c r="H21" s="286"/>
      <c r="I21" s="286"/>
      <c r="J21" s="285"/>
      <c r="K21" s="297" t="s">
        <v>40</v>
      </c>
      <c r="L21" s="296">
        <v>228</v>
      </c>
      <c r="M21" s="292">
        <v>145016.98691037917</v>
      </c>
      <c r="N21" s="296">
        <v>250.80000000000004</v>
      </c>
      <c r="O21" s="292">
        <v>160377.38038418704</v>
      </c>
      <c r="P21" s="296">
        <v>273.60000000000002</v>
      </c>
      <c r="Q21" s="292">
        <v>175737.77385799482</v>
      </c>
      <c r="R21" s="296">
        <v>205.2</v>
      </c>
      <c r="S21" s="292">
        <v>129656.59343657135</v>
      </c>
      <c r="T21" s="296">
        <v>182.40000000000003</v>
      </c>
      <c r="U21" s="292">
        <v>114296.19996276357</v>
      </c>
    </row>
    <row r="22" spans="1:21" x14ac:dyDescent="0.3">
      <c r="A22" s="330" t="s">
        <v>119</v>
      </c>
      <c r="B22" s="329" t="s">
        <v>208</v>
      </c>
      <c r="C22" s="326"/>
      <c r="D22" s="328"/>
      <c r="E22" s="327">
        <v>3800</v>
      </c>
      <c r="F22" s="326" t="s">
        <v>232</v>
      </c>
      <c r="G22" s="326"/>
      <c r="H22" s="326"/>
      <c r="I22" s="326"/>
      <c r="J22" s="325"/>
      <c r="K22" s="297" t="s">
        <v>65</v>
      </c>
      <c r="L22" s="296">
        <v>510</v>
      </c>
      <c r="M22" s="292">
        <v>311354.73567925044</v>
      </c>
      <c r="N22" s="296">
        <v>560.99999999999989</v>
      </c>
      <c r="O22" s="292">
        <v>343937.25637912314</v>
      </c>
      <c r="P22" s="296">
        <v>612</v>
      </c>
      <c r="Q22" s="292">
        <v>376519.77707899583</v>
      </c>
      <c r="R22" s="296">
        <v>459</v>
      </c>
      <c r="S22" s="292">
        <v>278772.21497937775</v>
      </c>
      <c r="T22" s="296">
        <v>408</v>
      </c>
      <c r="U22" s="292">
        <v>246189.69427950506</v>
      </c>
    </row>
    <row r="23" spans="1:21" x14ac:dyDescent="0.3">
      <c r="A23" s="291"/>
      <c r="B23" s="295"/>
      <c r="C23" s="294"/>
      <c r="D23" s="317"/>
      <c r="E23" s="292"/>
      <c r="F23" s="286"/>
      <c r="G23" s="286"/>
      <c r="H23" s="286"/>
      <c r="I23" s="286"/>
      <c r="J23" s="285"/>
      <c r="K23" s="297" t="s">
        <v>66</v>
      </c>
      <c r="L23" s="296">
        <v>854</v>
      </c>
      <c r="M23" s="292">
        <v>566970.51495717233</v>
      </c>
      <c r="N23" s="296">
        <v>939.39999999999986</v>
      </c>
      <c r="O23" s="292">
        <v>621923.87311020296</v>
      </c>
      <c r="P23" s="296">
        <v>1024.7999999999997</v>
      </c>
      <c r="Q23" s="292">
        <v>676877.2312632337</v>
      </c>
      <c r="R23" s="296">
        <v>768.60000000000014</v>
      </c>
      <c r="S23" s="292">
        <v>512017.15680414141</v>
      </c>
      <c r="T23" s="296">
        <v>683.19999999999993</v>
      </c>
      <c r="U23" s="292">
        <v>457063.79865111085</v>
      </c>
    </row>
    <row r="24" spans="1:21" x14ac:dyDescent="0.3">
      <c r="A24" s="291"/>
      <c r="B24" s="295"/>
      <c r="C24" s="294"/>
      <c r="D24" s="317"/>
      <c r="E24" s="292"/>
      <c r="F24" s="286"/>
      <c r="G24" s="286"/>
      <c r="H24" s="286"/>
      <c r="I24" s="286"/>
      <c r="J24" s="285"/>
      <c r="K24" s="279" t="s">
        <v>121</v>
      </c>
      <c r="L24" s="278">
        <v>4132</v>
      </c>
      <c r="M24" s="278">
        <v>3120475.6898188773</v>
      </c>
      <c r="N24" s="278">
        <v>4545.2000000000016</v>
      </c>
      <c r="O24" s="278">
        <v>3390361.104328128</v>
      </c>
      <c r="P24" s="278">
        <v>4958.3999999999996</v>
      </c>
      <c r="Q24" s="278">
        <v>3660246.5188373788</v>
      </c>
      <c r="R24" s="278">
        <v>3718.8</v>
      </c>
      <c r="S24" s="278">
        <v>2850590.2753096265</v>
      </c>
      <c r="T24" s="278">
        <v>3305.6000000000004</v>
      </c>
      <c r="U24" s="278">
        <v>2580704.8608003757</v>
      </c>
    </row>
    <row r="25" spans="1:21" x14ac:dyDescent="0.3">
      <c r="A25" s="291"/>
      <c r="B25" s="295"/>
      <c r="C25" s="294"/>
      <c r="D25" s="317"/>
      <c r="E25" s="292"/>
      <c r="F25" s="286"/>
      <c r="G25" s="286"/>
      <c r="H25" s="286"/>
      <c r="I25" s="286"/>
      <c r="J25" s="285"/>
      <c r="K25" s="279" t="s">
        <v>122</v>
      </c>
      <c r="L25" s="278">
        <v>3552</v>
      </c>
      <c r="M25" s="278">
        <v>2454639.121435334</v>
      </c>
      <c r="N25" s="278">
        <v>3907.2000000000007</v>
      </c>
      <c r="O25" s="278">
        <v>2684442.5471427506</v>
      </c>
      <c r="P25" s="278">
        <v>4262.3999999999996</v>
      </c>
      <c r="Q25" s="278">
        <v>2914245.9728501672</v>
      </c>
      <c r="R25" s="278">
        <v>3196.8</v>
      </c>
      <c r="S25" s="278">
        <v>2224835.6957279174</v>
      </c>
      <c r="T25" s="278">
        <v>2841.6000000000004</v>
      </c>
      <c r="U25" s="278">
        <v>1995032.2700205003</v>
      </c>
    </row>
    <row r="26" spans="1:21" x14ac:dyDescent="0.3">
      <c r="A26" s="291"/>
      <c r="B26" s="295"/>
      <c r="C26" s="294"/>
      <c r="D26" s="317"/>
      <c r="E26" s="292"/>
      <c r="F26" s="286"/>
      <c r="G26" s="286"/>
      <c r="H26" s="286"/>
      <c r="I26" s="286"/>
      <c r="J26" s="285"/>
      <c r="K26" s="324"/>
      <c r="L26" s="323"/>
      <c r="M26" s="323"/>
      <c r="N26" s="323"/>
      <c r="O26" s="323"/>
      <c r="P26" s="323"/>
      <c r="Q26" s="323"/>
      <c r="R26" s="323"/>
      <c r="S26" s="323"/>
      <c r="T26" s="323"/>
      <c r="U26" s="322"/>
    </row>
    <row r="27" spans="1:21" ht="15.6" x14ac:dyDescent="0.3">
      <c r="A27" s="291"/>
      <c r="B27" s="295"/>
      <c r="C27" s="294"/>
      <c r="D27" s="317"/>
      <c r="E27" s="292"/>
      <c r="F27" s="286"/>
      <c r="G27" s="286"/>
      <c r="H27" s="286"/>
      <c r="I27" s="286"/>
      <c r="J27" s="285"/>
      <c r="K27" s="505" t="s">
        <v>123</v>
      </c>
      <c r="L27" s="506"/>
      <c r="M27" s="506"/>
      <c r="N27" s="506"/>
      <c r="O27" s="506"/>
      <c r="P27" s="506"/>
      <c r="Q27" s="506"/>
      <c r="R27" s="506"/>
      <c r="S27" s="506"/>
      <c r="T27" s="506"/>
      <c r="U27" s="507"/>
    </row>
    <row r="28" spans="1:21" x14ac:dyDescent="0.3">
      <c r="A28" s="291"/>
      <c r="B28" s="295"/>
      <c r="C28" s="294"/>
      <c r="D28" s="317"/>
      <c r="E28" s="292"/>
      <c r="F28" s="286"/>
      <c r="G28" s="286"/>
      <c r="H28" s="286"/>
      <c r="I28" s="286"/>
      <c r="J28" s="285"/>
      <c r="K28" s="321"/>
      <c r="L28" s="319" t="s">
        <v>96</v>
      </c>
      <c r="M28" s="320"/>
      <c r="N28" s="319" t="s">
        <v>97</v>
      </c>
      <c r="O28" s="320"/>
      <c r="P28" s="319" t="s">
        <v>98</v>
      </c>
      <c r="Q28" s="320"/>
      <c r="R28" s="319" t="s">
        <v>99</v>
      </c>
      <c r="S28" s="320"/>
      <c r="T28" s="319" t="s">
        <v>100</v>
      </c>
      <c r="U28" s="318"/>
    </row>
    <row r="29" spans="1:21" x14ac:dyDescent="0.3">
      <c r="A29" s="291"/>
      <c r="B29" s="295"/>
      <c r="C29" s="294"/>
      <c r="D29" s="317"/>
      <c r="E29" s="292"/>
      <c r="F29" s="286"/>
      <c r="G29" s="286"/>
      <c r="H29" s="286"/>
      <c r="I29" s="286"/>
      <c r="J29" s="285"/>
      <c r="K29" s="316" t="s">
        <v>106</v>
      </c>
      <c r="L29" s="315" t="s">
        <v>107</v>
      </c>
      <c r="M29" s="315" t="s">
        <v>48</v>
      </c>
      <c r="N29" s="315" t="s">
        <v>107</v>
      </c>
      <c r="O29" s="315" t="s">
        <v>48</v>
      </c>
      <c r="P29" s="315" t="s">
        <v>107</v>
      </c>
      <c r="Q29" s="315" t="s">
        <v>48</v>
      </c>
      <c r="R29" s="315" t="s">
        <v>107</v>
      </c>
      <c r="S29" s="315" t="s">
        <v>48</v>
      </c>
      <c r="T29" s="315" t="s">
        <v>107</v>
      </c>
      <c r="U29" s="315" t="s">
        <v>48</v>
      </c>
    </row>
    <row r="30" spans="1:21" x14ac:dyDescent="0.3">
      <c r="A30" s="314"/>
      <c r="B30" s="290"/>
      <c r="C30" s="289"/>
      <c r="D30" s="313"/>
      <c r="E30" s="287"/>
      <c r="F30" s="286"/>
      <c r="G30" s="286"/>
      <c r="H30" s="286"/>
      <c r="I30" s="286"/>
      <c r="J30" s="285"/>
      <c r="K30" s="297" t="s">
        <v>62</v>
      </c>
      <c r="L30" s="312">
        <v>941.99999999999955</v>
      </c>
      <c r="M30" s="300">
        <v>48376.876111643796</v>
      </c>
      <c r="N30" s="312">
        <v>1036.2000000000003</v>
      </c>
      <c r="O30" s="300">
        <v>45729.316127239363</v>
      </c>
      <c r="P30" s="312">
        <v>1130.4000000000001</v>
      </c>
      <c r="Q30" s="300">
        <v>43081.756142834914</v>
      </c>
      <c r="R30" s="312">
        <v>847.79999999999973</v>
      </c>
      <c r="S30" s="300">
        <v>51024.436096048281</v>
      </c>
      <c r="T30" s="312">
        <v>753.60000000000014</v>
      </c>
      <c r="U30" s="300">
        <v>53671.996080452736</v>
      </c>
    </row>
    <row r="31" spans="1:21" x14ac:dyDescent="0.3">
      <c r="A31" s="284"/>
      <c r="B31" s="283"/>
      <c r="C31" s="283"/>
      <c r="D31" s="283" t="s">
        <v>124</v>
      </c>
      <c r="E31" s="282">
        <v>54300</v>
      </c>
      <c r="F31" s="281"/>
      <c r="G31" s="281"/>
      <c r="H31" s="281"/>
      <c r="I31" s="281"/>
      <c r="J31" s="280"/>
      <c r="K31" s="297" t="s">
        <v>63</v>
      </c>
      <c r="L31" s="296">
        <v>723.00000000000023</v>
      </c>
      <c r="M31" s="292">
        <v>58791.584813504698</v>
      </c>
      <c r="N31" s="296">
        <v>795.30000000000064</v>
      </c>
      <c r="O31" s="292">
        <v>56524.64446275388</v>
      </c>
      <c r="P31" s="296">
        <v>867.60000000000048</v>
      </c>
      <c r="Q31" s="292">
        <v>54257.704112003114</v>
      </c>
      <c r="R31" s="296">
        <v>650.70000000000016</v>
      </c>
      <c r="S31" s="292">
        <v>61058.525164255494</v>
      </c>
      <c r="T31" s="296">
        <v>578.40000000000043</v>
      </c>
      <c r="U31" s="292">
        <v>63325.465515006304</v>
      </c>
    </row>
    <row r="32" spans="1:21" x14ac:dyDescent="0.3">
      <c r="A32" s="311"/>
      <c r="B32" s="310"/>
      <c r="C32" s="310"/>
      <c r="D32" s="309"/>
      <c r="E32" s="308"/>
      <c r="F32" s="307"/>
      <c r="G32" s="307"/>
      <c r="H32" s="307"/>
      <c r="I32" s="307"/>
      <c r="J32" s="306"/>
      <c r="K32" s="297" t="s">
        <v>64</v>
      </c>
      <c r="L32" s="296">
        <v>523</v>
      </c>
      <c r="M32" s="292">
        <v>42319.7464635535</v>
      </c>
      <c r="N32" s="296">
        <v>575.29999999999995</v>
      </c>
      <c r="O32" s="292">
        <v>40491.708413296001</v>
      </c>
      <c r="P32" s="296">
        <v>627.59999999999991</v>
      </c>
      <c r="Q32" s="292">
        <v>38663.670363038531</v>
      </c>
      <c r="R32" s="296">
        <v>470.7</v>
      </c>
      <c r="S32" s="292">
        <v>44147.784513810999</v>
      </c>
      <c r="T32" s="296">
        <v>418.4</v>
      </c>
      <c r="U32" s="292">
        <v>45975.822564068483</v>
      </c>
    </row>
    <row r="33" spans="1:21" ht="15.6" x14ac:dyDescent="0.3">
      <c r="A33" s="502" t="s">
        <v>125</v>
      </c>
      <c r="B33" s="503"/>
      <c r="C33" s="503"/>
      <c r="D33" s="503"/>
      <c r="E33" s="503"/>
      <c r="F33" s="503"/>
      <c r="G33" s="503"/>
      <c r="H33" s="503"/>
      <c r="I33" s="503"/>
      <c r="J33" s="504"/>
      <c r="K33" s="297" t="s">
        <v>34</v>
      </c>
      <c r="L33" s="296">
        <v>244.99999999999997</v>
      </c>
      <c r="M33" s="292">
        <v>20599.831343337912</v>
      </c>
      <c r="N33" s="296">
        <v>269.5</v>
      </c>
      <c r="O33" s="292">
        <v>19910.162690827718</v>
      </c>
      <c r="P33" s="296">
        <v>293.99999999999989</v>
      </c>
      <c r="Q33" s="292">
        <v>19220.494038317534</v>
      </c>
      <c r="R33" s="296">
        <v>220.50000000000011</v>
      </c>
      <c r="S33" s="292">
        <v>21289.499995848109</v>
      </c>
      <c r="T33" s="296">
        <v>196</v>
      </c>
      <c r="U33" s="292">
        <v>21979.1686483583</v>
      </c>
    </row>
    <row r="34" spans="1:21" x14ac:dyDescent="0.3">
      <c r="A34" s="305" t="s">
        <v>67</v>
      </c>
      <c r="B34" s="496" t="s">
        <v>115</v>
      </c>
      <c r="C34" s="497"/>
      <c r="D34" s="498"/>
      <c r="E34" s="305" t="s">
        <v>116</v>
      </c>
      <c r="F34" s="496" t="s">
        <v>117</v>
      </c>
      <c r="G34" s="499"/>
      <c r="H34" s="500"/>
      <c r="I34" s="500"/>
      <c r="J34" s="501"/>
      <c r="K34" s="297" t="s">
        <v>35</v>
      </c>
      <c r="L34" s="296">
        <v>63.999999999999972</v>
      </c>
      <c r="M34" s="292">
        <v>21288.304905621055</v>
      </c>
      <c r="N34" s="296">
        <v>70.399999999999977</v>
      </c>
      <c r="O34" s="292">
        <v>21095.767821316254</v>
      </c>
      <c r="P34" s="296">
        <v>76.800000000000054</v>
      </c>
      <c r="Q34" s="292">
        <v>20903.23073701145</v>
      </c>
      <c r="R34" s="296">
        <v>57.599999999999987</v>
      </c>
      <c r="S34" s="292">
        <v>21480.841989925848</v>
      </c>
      <c r="T34" s="296">
        <v>51.200000000000031</v>
      </c>
      <c r="U34" s="292">
        <v>21673.379074230652</v>
      </c>
    </row>
    <row r="35" spans="1:21" x14ac:dyDescent="0.3">
      <c r="A35" s="304"/>
      <c r="B35" s="303"/>
      <c r="C35" s="302"/>
      <c r="D35" s="301"/>
      <c r="E35" s="300"/>
      <c r="F35" s="299"/>
      <c r="G35" s="299"/>
      <c r="H35" s="299"/>
      <c r="I35" s="299"/>
      <c r="J35" s="298"/>
      <c r="K35" s="297" t="s">
        <v>36</v>
      </c>
      <c r="L35" s="296">
        <v>3.9999999999999987</v>
      </c>
      <c r="M35" s="292">
        <v>23563.354781336191</v>
      </c>
      <c r="N35" s="296">
        <v>4.3999999999999959</v>
      </c>
      <c r="O35" s="292">
        <v>23523.873625321634</v>
      </c>
      <c r="P35" s="296">
        <v>4.8000000000000016</v>
      </c>
      <c r="Q35" s="292">
        <v>23484.392469307066</v>
      </c>
      <c r="R35" s="296">
        <v>3.6</v>
      </c>
      <c r="S35" s="292">
        <v>23602.835937350748</v>
      </c>
      <c r="T35" s="296">
        <v>3.199999999999998</v>
      </c>
      <c r="U35" s="292">
        <v>23642.317093365302</v>
      </c>
    </row>
    <row r="36" spans="1:21" x14ac:dyDescent="0.3">
      <c r="A36" s="291"/>
      <c r="B36" s="295"/>
      <c r="C36" s="294"/>
      <c r="D36" s="293"/>
      <c r="E36" s="292"/>
      <c r="F36" s="286"/>
      <c r="G36" s="286"/>
      <c r="H36" s="286"/>
      <c r="I36" s="286"/>
      <c r="J36" s="285"/>
      <c r="K36" s="297" t="s">
        <v>37</v>
      </c>
      <c r="L36" s="296">
        <v>0</v>
      </c>
      <c r="M36" s="292">
        <v>22361.006696199736</v>
      </c>
      <c r="N36" s="296">
        <v>0</v>
      </c>
      <c r="O36" s="292">
        <v>22355.479772912415</v>
      </c>
      <c r="P36" s="296">
        <v>0</v>
      </c>
      <c r="Q36" s="292">
        <v>22349.952849625093</v>
      </c>
      <c r="R36" s="296">
        <v>0</v>
      </c>
      <c r="S36" s="292">
        <v>22366.533619487062</v>
      </c>
      <c r="T36" s="296">
        <v>0</v>
      </c>
      <c r="U36" s="292">
        <v>22372.060542774383</v>
      </c>
    </row>
    <row r="37" spans="1:21" x14ac:dyDescent="0.3">
      <c r="A37" s="291"/>
      <c r="B37" s="295"/>
      <c r="C37" s="294"/>
      <c r="D37" s="293"/>
      <c r="E37" s="292"/>
      <c r="F37" s="286"/>
      <c r="G37" s="286"/>
      <c r="H37" s="286"/>
      <c r="I37" s="286"/>
      <c r="J37" s="285"/>
      <c r="K37" s="297" t="s">
        <v>38</v>
      </c>
      <c r="L37" s="296">
        <v>0.99999999999999922</v>
      </c>
      <c r="M37" s="292">
        <v>16490.539517552923</v>
      </c>
      <c r="N37" s="296">
        <v>1.1000000000000001</v>
      </c>
      <c r="O37" s="292">
        <v>16489.940016723096</v>
      </c>
      <c r="P37" s="296">
        <v>1.1999999999999988</v>
      </c>
      <c r="Q37" s="292">
        <v>16489.340515893262</v>
      </c>
      <c r="R37" s="296">
        <v>0.8999999999999998</v>
      </c>
      <c r="S37" s="292">
        <v>16491.139018382775</v>
      </c>
      <c r="T37" s="296">
        <v>0.79999999999999949</v>
      </c>
      <c r="U37" s="292">
        <v>16491.738519212609</v>
      </c>
    </row>
    <row r="38" spans="1:21" x14ac:dyDescent="0.3">
      <c r="A38" s="291"/>
      <c r="B38" s="295"/>
      <c r="C38" s="294"/>
      <c r="D38" s="293"/>
      <c r="E38" s="292"/>
      <c r="F38" s="286"/>
      <c r="G38" s="286"/>
      <c r="H38" s="286"/>
      <c r="I38" s="286"/>
      <c r="J38" s="285"/>
      <c r="K38" s="297" t="s">
        <v>39</v>
      </c>
      <c r="L38" s="296">
        <v>38</v>
      </c>
      <c r="M38" s="292">
        <v>13764.60429437829</v>
      </c>
      <c r="N38" s="296">
        <v>41.79999999999999</v>
      </c>
      <c r="O38" s="292">
        <v>13773.650311705534</v>
      </c>
      <c r="P38" s="296">
        <v>45.6</v>
      </c>
      <c r="Q38" s="292">
        <v>13782.696329032782</v>
      </c>
      <c r="R38" s="296">
        <v>34.200000000000003</v>
      </c>
      <c r="S38" s="292">
        <v>13755.558277051061</v>
      </c>
      <c r="T38" s="296">
        <v>30.399999999999991</v>
      </c>
      <c r="U38" s="292">
        <v>13746.512259723822</v>
      </c>
    </row>
    <row r="39" spans="1:21" x14ac:dyDescent="0.3">
      <c r="A39" s="291"/>
      <c r="B39" s="295"/>
      <c r="C39" s="294"/>
      <c r="D39" s="293"/>
      <c r="E39" s="292"/>
      <c r="F39" s="286"/>
      <c r="G39" s="286"/>
      <c r="H39" s="286"/>
      <c r="I39" s="286"/>
      <c r="J39" s="285"/>
      <c r="K39" s="297" t="s">
        <v>40</v>
      </c>
      <c r="L39" s="296">
        <v>228</v>
      </c>
      <c r="M39" s="292">
        <v>15445.47300753874</v>
      </c>
      <c r="N39" s="296">
        <v>250.80000000000004</v>
      </c>
      <c r="O39" s="292">
        <v>15391.879556481575</v>
      </c>
      <c r="P39" s="296">
        <v>273.60000000000002</v>
      </c>
      <c r="Q39" s="292">
        <v>15338.286105424404</v>
      </c>
      <c r="R39" s="296">
        <v>205.2</v>
      </c>
      <c r="S39" s="292">
        <v>15499.066458595915</v>
      </c>
      <c r="T39" s="296">
        <v>182.40000000000003</v>
      </c>
      <c r="U39" s="292">
        <v>15552.659909653081</v>
      </c>
    </row>
    <row r="40" spans="1:21" x14ac:dyDescent="0.3">
      <c r="A40" s="291"/>
      <c r="B40" s="295"/>
      <c r="C40" s="294"/>
      <c r="D40" s="293"/>
      <c r="E40" s="292"/>
      <c r="F40" s="286"/>
      <c r="G40" s="286"/>
      <c r="H40" s="286"/>
      <c r="I40" s="286"/>
      <c r="J40" s="285"/>
      <c r="K40" s="297" t="s">
        <v>65</v>
      </c>
      <c r="L40" s="296">
        <v>510</v>
      </c>
      <c r="M40" s="292">
        <v>13715.192786765121</v>
      </c>
      <c r="N40" s="296">
        <v>560.99999999999989</v>
      </c>
      <c r="O40" s="292">
        <v>12791.374475942801</v>
      </c>
      <c r="P40" s="296">
        <v>612</v>
      </c>
      <c r="Q40" s="292">
        <v>11867.556165120481</v>
      </c>
      <c r="R40" s="296">
        <v>459</v>
      </c>
      <c r="S40" s="292">
        <v>14639.011097587449</v>
      </c>
      <c r="T40" s="296">
        <v>408</v>
      </c>
      <c r="U40" s="292">
        <v>15562.829408409767</v>
      </c>
    </row>
    <row r="41" spans="1:21" x14ac:dyDescent="0.3">
      <c r="A41" s="291"/>
      <c r="B41" s="295"/>
      <c r="C41" s="294"/>
      <c r="D41" s="293"/>
      <c r="E41" s="292"/>
      <c r="F41" s="286"/>
      <c r="G41" s="286"/>
      <c r="H41" s="286"/>
      <c r="I41" s="286"/>
      <c r="J41" s="285"/>
      <c r="K41" s="297" t="s">
        <v>66</v>
      </c>
      <c r="L41" s="296">
        <v>854</v>
      </c>
      <c r="M41" s="292">
        <v>20383.952219974995</v>
      </c>
      <c r="N41" s="296">
        <v>939.39999999999986</v>
      </c>
      <c r="O41" s="292">
        <v>18282.598679711107</v>
      </c>
      <c r="P41" s="296">
        <v>1024.7999999999997</v>
      </c>
      <c r="Q41" s="292">
        <v>16181.245139447228</v>
      </c>
      <c r="R41" s="296">
        <v>768.60000000000014</v>
      </c>
      <c r="S41" s="292">
        <v>22485.305760238902</v>
      </c>
      <c r="T41" s="296">
        <v>683.19999999999993</v>
      </c>
      <c r="U41" s="292">
        <v>24586.659300502783</v>
      </c>
    </row>
    <row r="42" spans="1:21" x14ac:dyDescent="0.3">
      <c r="A42" s="291"/>
      <c r="B42" s="295"/>
      <c r="C42" s="294"/>
      <c r="D42" s="293"/>
      <c r="E42" s="292"/>
      <c r="F42" s="286"/>
      <c r="G42" s="286"/>
      <c r="H42" s="286"/>
      <c r="I42" s="286"/>
      <c r="J42" s="285"/>
      <c r="K42" s="279" t="s">
        <v>126</v>
      </c>
      <c r="L42" s="278">
        <v>4132</v>
      </c>
      <c r="M42" s="278">
        <v>317100.46694140695</v>
      </c>
      <c r="N42" s="278">
        <v>4545.2000000000016</v>
      </c>
      <c r="O42" s="278">
        <v>306360.39595423138</v>
      </c>
      <c r="P42" s="278">
        <v>4958.3999999999996</v>
      </c>
      <c r="Q42" s="278">
        <v>295620.32496705581</v>
      </c>
      <c r="R42" s="278">
        <v>3718.8</v>
      </c>
      <c r="S42" s="278">
        <v>327840.53792858269</v>
      </c>
      <c r="T42" s="278">
        <v>3305.6000000000004</v>
      </c>
      <c r="U42" s="278">
        <v>338580.6089157582</v>
      </c>
    </row>
    <row r="43" spans="1:21" x14ac:dyDescent="0.3">
      <c r="A43" s="291"/>
      <c r="B43" s="295"/>
      <c r="C43" s="294"/>
      <c r="D43" s="293"/>
      <c r="E43" s="292"/>
      <c r="F43" s="286"/>
      <c r="G43" s="286"/>
      <c r="H43" s="286"/>
      <c r="I43" s="286"/>
      <c r="J43" s="285"/>
      <c r="K43" s="279" t="s">
        <v>127</v>
      </c>
      <c r="L43" s="278">
        <v>3552</v>
      </c>
      <c r="M43" s="278">
        <v>183587.35239544211</v>
      </c>
      <c r="N43" s="278">
        <v>3907.2000000000007</v>
      </c>
      <c r="O43" s="278">
        <v>173819.64215894317</v>
      </c>
      <c r="P43" s="278">
        <v>4262.3999999999996</v>
      </c>
      <c r="Q43" s="278">
        <v>164051.93192244423</v>
      </c>
      <c r="R43" s="278">
        <v>3196.8</v>
      </c>
      <c r="S43" s="278">
        <v>193355.06263194111</v>
      </c>
      <c r="T43" s="278">
        <v>2841.6000000000004</v>
      </c>
      <c r="U43" s="278">
        <v>203122.77286844008</v>
      </c>
    </row>
    <row r="44" spans="1:21" x14ac:dyDescent="0.3">
      <c r="A44" s="291"/>
      <c r="B44" s="290"/>
      <c r="C44" s="289"/>
      <c r="D44" s="288"/>
      <c r="E44" s="287"/>
      <c r="F44" s="286"/>
      <c r="G44" s="286"/>
      <c r="H44" s="286"/>
      <c r="I44" s="286"/>
      <c r="J44" s="285"/>
      <c r="K44" s="279" t="s">
        <v>128</v>
      </c>
      <c r="L44" s="278">
        <v>4132</v>
      </c>
      <c r="M44" s="278">
        <v>3437576.1567602842</v>
      </c>
      <c r="N44" s="278">
        <v>4545.2000000000016</v>
      </c>
      <c r="O44" s="278">
        <v>3696721.5002823593</v>
      </c>
      <c r="P44" s="278">
        <v>4958.3999999999996</v>
      </c>
      <c r="Q44" s="278">
        <v>3955866.8438044349</v>
      </c>
      <c r="R44" s="278">
        <v>3718.8</v>
      </c>
      <c r="S44" s="278">
        <v>3178430.8132382091</v>
      </c>
      <c r="T44" s="278">
        <v>3305.6000000000004</v>
      </c>
      <c r="U44" s="278">
        <v>2919285.469716134</v>
      </c>
    </row>
    <row r="45" spans="1:21" x14ac:dyDescent="0.3">
      <c r="A45" s="284"/>
      <c r="B45" s="283"/>
      <c r="C45" s="283"/>
      <c r="D45" s="283" t="s">
        <v>129</v>
      </c>
      <c r="E45" s="282">
        <v>0</v>
      </c>
      <c r="F45" s="281"/>
      <c r="G45" s="281"/>
      <c r="H45" s="281"/>
      <c r="I45" s="281"/>
      <c r="J45" s="280"/>
      <c r="K45" s="279" t="s">
        <v>130</v>
      </c>
      <c r="L45" s="278">
        <v>3552</v>
      </c>
      <c r="M45" s="278">
        <v>2638226.4738307763</v>
      </c>
      <c r="N45" s="278">
        <v>3907.2000000000007</v>
      </c>
      <c r="O45" s="278">
        <v>2858262.1893016938</v>
      </c>
      <c r="P45" s="278">
        <v>4262.3999999999996</v>
      </c>
      <c r="Q45" s="278">
        <v>3078297.9047726113</v>
      </c>
      <c r="R45" s="278">
        <v>3196.8</v>
      </c>
      <c r="S45" s="278">
        <v>2418190.7583598583</v>
      </c>
      <c r="T45" s="278">
        <v>2841.6000000000004</v>
      </c>
      <c r="U45" s="278">
        <v>2198155.0428889403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conditionalFormatting sqref="F4:J4">
    <cfRule type="containsText" dxfId="15" priority="1" stopIfTrue="1" operator="containsText" text="PEAK DAY">
      <formula>NOT(ISERROR(SEARCH("PEAK DAY",F4)))</formula>
    </cfRule>
  </conditionalFormatting>
  <conditionalFormatting sqref="J9">
    <cfRule type="cellIs" dxfId="14" priority="4" stopIfTrue="1" operator="greaterThanOrEqual">
      <formula>$E$11</formula>
    </cfRule>
  </conditionalFormatting>
  <conditionalFormatting sqref="J10">
    <cfRule type="cellIs" dxfId="13" priority="3" stopIfTrue="1" operator="greaterThanOrEqual">
      <formula>$E$11</formula>
    </cfRule>
  </conditionalFormatting>
  <conditionalFormatting sqref="H9">
    <cfRule type="cellIs" dxfId="12" priority="2" stopIfTrue="1" operator="greaterThanOrEqual">
      <formula>$H$6</formula>
    </cfRule>
  </conditionalFormatting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0" zoomScaleNormal="70" workbookViewId="0">
      <selection activeCell="J35" sqref="J35"/>
    </sheetView>
  </sheetViews>
  <sheetFormatPr defaultRowHeight="14.4" x14ac:dyDescent="0.3"/>
  <cols>
    <col min="1" max="1" width="26.6640625" style="277" customWidth="1"/>
    <col min="2" max="3" width="18.6640625" style="277" customWidth="1"/>
    <col min="4" max="4" width="27.6640625" style="277" customWidth="1"/>
    <col min="5" max="5" width="15.6640625" style="277" customWidth="1"/>
    <col min="6" max="7" width="12.6640625" style="277" customWidth="1"/>
    <col min="8" max="8" width="17.6640625" style="277" customWidth="1"/>
    <col min="9" max="10" width="15.6640625" style="277" customWidth="1"/>
    <col min="11" max="13" width="18.6640625" style="276" customWidth="1"/>
    <col min="14" max="21" width="15.88671875" style="276" customWidth="1"/>
    <col min="22" max="256" width="9.109375" style="276"/>
    <col min="257" max="257" width="26.6640625" style="276" customWidth="1"/>
    <col min="258" max="259" width="18.6640625" style="276" customWidth="1"/>
    <col min="260" max="260" width="27.6640625" style="276" customWidth="1"/>
    <col min="261" max="261" width="15.6640625" style="276" customWidth="1"/>
    <col min="262" max="263" width="12.6640625" style="276" customWidth="1"/>
    <col min="264" max="264" width="17.6640625" style="276" customWidth="1"/>
    <col min="265" max="266" width="15.6640625" style="276" customWidth="1"/>
    <col min="267" max="269" width="18.6640625" style="276" customWidth="1"/>
    <col min="270" max="277" width="15.88671875" style="276" customWidth="1"/>
    <col min="278" max="512" width="9.109375" style="276"/>
    <col min="513" max="513" width="26.6640625" style="276" customWidth="1"/>
    <col min="514" max="515" width="18.6640625" style="276" customWidth="1"/>
    <col min="516" max="516" width="27.6640625" style="276" customWidth="1"/>
    <col min="517" max="517" width="15.6640625" style="276" customWidth="1"/>
    <col min="518" max="519" width="12.6640625" style="276" customWidth="1"/>
    <col min="520" max="520" width="17.6640625" style="276" customWidth="1"/>
    <col min="521" max="522" width="15.6640625" style="276" customWidth="1"/>
    <col min="523" max="525" width="18.6640625" style="276" customWidth="1"/>
    <col min="526" max="533" width="15.88671875" style="276" customWidth="1"/>
    <col min="534" max="768" width="9.109375" style="276"/>
    <col min="769" max="769" width="26.6640625" style="276" customWidth="1"/>
    <col min="770" max="771" width="18.6640625" style="276" customWidth="1"/>
    <col min="772" max="772" width="27.6640625" style="276" customWidth="1"/>
    <col min="773" max="773" width="15.6640625" style="276" customWidth="1"/>
    <col min="774" max="775" width="12.6640625" style="276" customWidth="1"/>
    <col min="776" max="776" width="17.6640625" style="276" customWidth="1"/>
    <col min="777" max="778" width="15.6640625" style="276" customWidth="1"/>
    <col min="779" max="781" width="18.6640625" style="276" customWidth="1"/>
    <col min="782" max="789" width="15.88671875" style="276" customWidth="1"/>
    <col min="790" max="1024" width="9.109375" style="276"/>
    <col min="1025" max="1025" width="26.6640625" style="276" customWidth="1"/>
    <col min="1026" max="1027" width="18.6640625" style="276" customWidth="1"/>
    <col min="1028" max="1028" width="27.6640625" style="276" customWidth="1"/>
    <col min="1029" max="1029" width="15.6640625" style="276" customWidth="1"/>
    <col min="1030" max="1031" width="12.6640625" style="276" customWidth="1"/>
    <col min="1032" max="1032" width="17.6640625" style="276" customWidth="1"/>
    <col min="1033" max="1034" width="15.6640625" style="276" customWidth="1"/>
    <col min="1035" max="1037" width="18.6640625" style="276" customWidth="1"/>
    <col min="1038" max="1045" width="15.88671875" style="276" customWidth="1"/>
    <col min="1046" max="1280" width="9.109375" style="276"/>
    <col min="1281" max="1281" width="26.6640625" style="276" customWidth="1"/>
    <col min="1282" max="1283" width="18.6640625" style="276" customWidth="1"/>
    <col min="1284" max="1284" width="27.6640625" style="276" customWidth="1"/>
    <col min="1285" max="1285" width="15.6640625" style="276" customWidth="1"/>
    <col min="1286" max="1287" width="12.6640625" style="276" customWidth="1"/>
    <col min="1288" max="1288" width="17.6640625" style="276" customWidth="1"/>
    <col min="1289" max="1290" width="15.6640625" style="276" customWidth="1"/>
    <col min="1291" max="1293" width="18.6640625" style="276" customWidth="1"/>
    <col min="1294" max="1301" width="15.88671875" style="276" customWidth="1"/>
    <col min="1302" max="1536" width="9.109375" style="276"/>
    <col min="1537" max="1537" width="26.6640625" style="276" customWidth="1"/>
    <col min="1538" max="1539" width="18.6640625" style="276" customWidth="1"/>
    <col min="1540" max="1540" width="27.6640625" style="276" customWidth="1"/>
    <col min="1541" max="1541" width="15.6640625" style="276" customWidth="1"/>
    <col min="1542" max="1543" width="12.6640625" style="276" customWidth="1"/>
    <col min="1544" max="1544" width="17.6640625" style="276" customWidth="1"/>
    <col min="1545" max="1546" width="15.6640625" style="276" customWidth="1"/>
    <col min="1547" max="1549" width="18.6640625" style="276" customWidth="1"/>
    <col min="1550" max="1557" width="15.88671875" style="276" customWidth="1"/>
    <col min="1558" max="1792" width="9.109375" style="276"/>
    <col min="1793" max="1793" width="26.6640625" style="276" customWidth="1"/>
    <col min="1794" max="1795" width="18.6640625" style="276" customWidth="1"/>
    <col min="1796" max="1796" width="27.6640625" style="276" customWidth="1"/>
    <col min="1797" max="1797" width="15.6640625" style="276" customWidth="1"/>
    <col min="1798" max="1799" width="12.6640625" style="276" customWidth="1"/>
    <col min="1800" max="1800" width="17.6640625" style="276" customWidth="1"/>
    <col min="1801" max="1802" width="15.6640625" style="276" customWidth="1"/>
    <col min="1803" max="1805" width="18.6640625" style="276" customWidth="1"/>
    <col min="1806" max="1813" width="15.88671875" style="276" customWidth="1"/>
    <col min="1814" max="2048" width="9.109375" style="276"/>
    <col min="2049" max="2049" width="26.6640625" style="276" customWidth="1"/>
    <col min="2050" max="2051" width="18.6640625" style="276" customWidth="1"/>
    <col min="2052" max="2052" width="27.6640625" style="276" customWidth="1"/>
    <col min="2053" max="2053" width="15.6640625" style="276" customWidth="1"/>
    <col min="2054" max="2055" width="12.6640625" style="276" customWidth="1"/>
    <col min="2056" max="2056" width="17.6640625" style="276" customWidth="1"/>
    <col min="2057" max="2058" width="15.6640625" style="276" customWidth="1"/>
    <col min="2059" max="2061" width="18.6640625" style="276" customWidth="1"/>
    <col min="2062" max="2069" width="15.88671875" style="276" customWidth="1"/>
    <col min="2070" max="2304" width="9.109375" style="276"/>
    <col min="2305" max="2305" width="26.6640625" style="276" customWidth="1"/>
    <col min="2306" max="2307" width="18.6640625" style="276" customWidth="1"/>
    <col min="2308" max="2308" width="27.6640625" style="276" customWidth="1"/>
    <col min="2309" max="2309" width="15.6640625" style="276" customWidth="1"/>
    <col min="2310" max="2311" width="12.6640625" style="276" customWidth="1"/>
    <col min="2312" max="2312" width="17.6640625" style="276" customWidth="1"/>
    <col min="2313" max="2314" width="15.6640625" style="276" customWidth="1"/>
    <col min="2315" max="2317" width="18.6640625" style="276" customWidth="1"/>
    <col min="2318" max="2325" width="15.88671875" style="276" customWidth="1"/>
    <col min="2326" max="2560" width="9.109375" style="276"/>
    <col min="2561" max="2561" width="26.6640625" style="276" customWidth="1"/>
    <col min="2562" max="2563" width="18.6640625" style="276" customWidth="1"/>
    <col min="2564" max="2564" width="27.6640625" style="276" customWidth="1"/>
    <col min="2565" max="2565" width="15.6640625" style="276" customWidth="1"/>
    <col min="2566" max="2567" width="12.6640625" style="276" customWidth="1"/>
    <col min="2568" max="2568" width="17.6640625" style="276" customWidth="1"/>
    <col min="2569" max="2570" width="15.6640625" style="276" customWidth="1"/>
    <col min="2571" max="2573" width="18.6640625" style="276" customWidth="1"/>
    <col min="2574" max="2581" width="15.88671875" style="276" customWidth="1"/>
    <col min="2582" max="2816" width="9.109375" style="276"/>
    <col min="2817" max="2817" width="26.6640625" style="276" customWidth="1"/>
    <col min="2818" max="2819" width="18.6640625" style="276" customWidth="1"/>
    <col min="2820" max="2820" width="27.6640625" style="276" customWidth="1"/>
    <col min="2821" max="2821" width="15.6640625" style="276" customWidth="1"/>
    <col min="2822" max="2823" width="12.6640625" style="276" customWidth="1"/>
    <col min="2824" max="2824" width="17.6640625" style="276" customWidth="1"/>
    <col min="2825" max="2826" width="15.6640625" style="276" customWidth="1"/>
    <col min="2827" max="2829" width="18.6640625" style="276" customWidth="1"/>
    <col min="2830" max="2837" width="15.88671875" style="276" customWidth="1"/>
    <col min="2838" max="3072" width="9.109375" style="276"/>
    <col min="3073" max="3073" width="26.6640625" style="276" customWidth="1"/>
    <col min="3074" max="3075" width="18.6640625" style="276" customWidth="1"/>
    <col min="3076" max="3076" width="27.6640625" style="276" customWidth="1"/>
    <col min="3077" max="3077" width="15.6640625" style="276" customWidth="1"/>
    <col min="3078" max="3079" width="12.6640625" style="276" customWidth="1"/>
    <col min="3080" max="3080" width="17.6640625" style="276" customWidth="1"/>
    <col min="3081" max="3082" width="15.6640625" style="276" customWidth="1"/>
    <col min="3083" max="3085" width="18.6640625" style="276" customWidth="1"/>
    <col min="3086" max="3093" width="15.88671875" style="276" customWidth="1"/>
    <col min="3094" max="3328" width="9.109375" style="276"/>
    <col min="3329" max="3329" width="26.6640625" style="276" customWidth="1"/>
    <col min="3330" max="3331" width="18.6640625" style="276" customWidth="1"/>
    <col min="3332" max="3332" width="27.6640625" style="276" customWidth="1"/>
    <col min="3333" max="3333" width="15.6640625" style="276" customWidth="1"/>
    <col min="3334" max="3335" width="12.6640625" style="276" customWidth="1"/>
    <col min="3336" max="3336" width="17.6640625" style="276" customWidth="1"/>
    <col min="3337" max="3338" width="15.6640625" style="276" customWidth="1"/>
    <col min="3339" max="3341" width="18.6640625" style="276" customWidth="1"/>
    <col min="3342" max="3349" width="15.88671875" style="276" customWidth="1"/>
    <col min="3350" max="3584" width="9.109375" style="276"/>
    <col min="3585" max="3585" width="26.6640625" style="276" customWidth="1"/>
    <col min="3586" max="3587" width="18.6640625" style="276" customWidth="1"/>
    <col min="3588" max="3588" width="27.6640625" style="276" customWidth="1"/>
    <col min="3589" max="3589" width="15.6640625" style="276" customWidth="1"/>
    <col min="3590" max="3591" width="12.6640625" style="276" customWidth="1"/>
    <col min="3592" max="3592" width="17.6640625" style="276" customWidth="1"/>
    <col min="3593" max="3594" width="15.6640625" style="276" customWidth="1"/>
    <col min="3595" max="3597" width="18.6640625" style="276" customWidth="1"/>
    <col min="3598" max="3605" width="15.88671875" style="276" customWidth="1"/>
    <col min="3606" max="3840" width="9.109375" style="276"/>
    <col min="3841" max="3841" width="26.6640625" style="276" customWidth="1"/>
    <col min="3842" max="3843" width="18.6640625" style="276" customWidth="1"/>
    <col min="3844" max="3844" width="27.6640625" style="276" customWidth="1"/>
    <col min="3845" max="3845" width="15.6640625" style="276" customWidth="1"/>
    <col min="3846" max="3847" width="12.6640625" style="276" customWidth="1"/>
    <col min="3848" max="3848" width="17.6640625" style="276" customWidth="1"/>
    <col min="3849" max="3850" width="15.6640625" style="276" customWidth="1"/>
    <col min="3851" max="3853" width="18.6640625" style="276" customWidth="1"/>
    <col min="3854" max="3861" width="15.88671875" style="276" customWidth="1"/>
    <col min="3862" max="4096" width="9.109375" style="276"/>
    <col min="4097" max="4097" width="26.6640625" style="276" customWidth="1"/>
    <col min="4098" max="4099" width="18.6640625" style="276" customWidth="1"/>
    <col min="4100" max="4100" width="27.6640625" style="276" customWidth="1"/>
    <col min="4101" max="4101" width="15.6640625" style="276" customWidth="1"/>
    <col min="4102" max="4103" width="12.6640625" style="276" customWidth="1"/>
    <col min="4104" max="4104" width="17.6640625" style="276" customWidth="1"/>
    <col min="4105" max="4106" width="15.6640625" style="276" customWidth="1"/>
    <col min="4107" max="4109" width="18.6640625" style="276" customWidth="1"/>
    <col min="4110" max="4117" width="15.88671875" style="276" customWidth="1"/>
    <col min="4118" max="4352" width="9.109375" style="276"/>
    <col min="4353" max="4353" width="26.6640625" style="276" customWidth="1"/>
    <col min="4354" max="4355" width="18.6640625" style="276" customWidth="1"/>
    <col min="4356" max="4356" width="27.6640625" style="276" customWidth="1"/>
    <col min="4357" max="4357" width="15.6640625" style="276" customWidth="1"/>
    <col min="4358" max="4359" width="12.6640625" style="276" customWidth="1"/>
    <col min="4360" max="4360" width="17.6640625" style="276" customWidth="1"/>
    <col min="4361" max="4362" width="15.6640625" style="276" customWidth="1"/>
    <col min="4363" max="4365" width="18.6640625" style="276" customWidth="1"/>
    <col min="4366" max="4373" width="15.88671875" style="276" customWidth="1"/>
    <col min="4374" max="4608" width="9.109375" style="276"/>
    <col min="4609" max="4609" width="26.6640625" style="276" customWidth="1"/>
    <col min="4610" max="4611" width="18.6640625" style="276" customWidth="1"/>
    <col min="4612" max="4612" width="27.6640625" style="276" customWidth="1"/>
    <col min="4613" max="4613" width="15.6640625" style="276" customWidth="1"/>
    <col min="4614" max="4615" width="12.6640625" style="276" customWidth="1"/>
    <col min="4616" max="4616" width="17.6640625" style="276" customWidth="1"/>
    <col min="4617" max="4618" width="15.6640625" style="276" customWidth="1"/>
    <col min="4619" max="4621" width="18.6640625" style="276" customWidth="1"/>
    <col min="4622" max="4629" width="15.88671875" style="276" customWidth="1"/>
    <col min="4630" max="4864" width="9.109375" style="276"/>
    <col min="4865" max="4865" width="26.6640625" style="276" customWidth="1"/>
    <col min="4866" max="4867" width="18.6640625" style="276" customWidth="1"/>
    <col min="4868" max="4868" width="27.6640625" style="276" customWidth="1"/>
    <col min="4869" max="4869" width="15.6640625" style="276" customWidth="1"/>
    <col min="4870" max="4871" width="12.6640625" style="276" customWidth="1"/>
    <col min="4872" max="4872" width="17.6640625" style="276" customWidth="1"/>
    <col min="4873" max="4874" width="15.6640625" style="276" customWidth="1"/>
    <col min="4875" max="4877" width="18.6640625" style="276" customWidth="1"/>
    <col min="4878" max="4885" width="15.88671875" style="276" customWidth="1"/>
    <col min="4886" max="5120" width="9.109375" style="276"/>
    <col min="5121" max="5121" width="26.6640625" style="276" customWidth="1"/>
    <col min="5122" max="5123" width="18.6640625" style="276" customWidth="1"/>
    <col min="5124" max="5124" width="27.6640625" style="276" customWidth="1"/>
    <col min="5125" max="5125" width="15.6640625" style="276" customWidth="1"/>
    <col min="5126" max="5127" width="12.6640625" style="276" customWidth="1"/>
    <col min="5128" max="5128" width="17.6640625" style="276" customWidth="1"/>
    <col min="5129" max="5130" width="15.6640625" style="276" customWidth="1"/>
    <col min="5131" max="5133" width="18.6640625" style="276" customWidth="1"/>
    <col min="5134" max="5141" width="15.88671875" style="276" customWidth="1"/>
    <col min="5142" max="5376" width="9.109375" style="276"/>
    <col min="5377" max="5377" width="26.6640625" style="276" customWidth="1"/>
    <col min="5378" max="5379" width="18.6640625" style="276" customWidth="1"/>
    <col min="5380" max="5380" width="27.6640625" style="276" customWidth="1"/>
    <col min="5381" max="5381" width="15.6640625" style="276" customWidth="1"/>
    <col min="5382" max="5383" width="12.6640625" style="276" customWidth="1"/>
    <col min="5384" max="5384" width="17.6640625" style="276" customWidth="1"/>
    <col min="5385" max="5386" width="15.6640625" style="276" customWidth="1"/>
    <col min="5387" max="5389" width="18.6640625" style="276" customWidth="1"/>
    <col min="5390" max="5397" width="15.88671875" style="276" customWidth="1"/>
    <col min="5398" max="5632" width="9.109375" style="276"/>
    <col min="5633" max="5633" width="26.6640625" style="276" customWidth="1"/>
    <col min="5634" max="5635" width="18.6640625" style="276" customWidth="1"/>
    <col min="5636" max="5636" width="27.6640625" style="276" customWidth="1"/>
    <col min="5637" max="5637" width="15.6640625" style="276" customWidth="1"/>
    <col min="5638" max="5639" width="12.6640625" style="276" customWidth="1"/>
    <col min="5640" max="5640" width="17.6640625" style="276" customWidth="1"/>
    <col min="5641" max="5642" width="15.6640625" style="276" customWidth="1"/>
    <col min="5643" max="5645" width="18.6640625" style="276" customWidth="1"/>
    <col min="5646" max="5653" width="15.88671875" style="276" customWidth="1"/>
    <col min="5654" max="5888" width="9.109375" style="276"/>
    <col min="5889" max="5889" width="26.6640625" style="276" customWidth="1"/>
    <col min="5890" max="5891" width="18.6640625" style="276" customWidth="1"/>
    <col min="5892" max="5892" width="27.6640625" style="276" customWidth="1"/>
    <col min="5893" max="5893" width="15.6640625" style="276" customWidth="1"/>
    <col min="5894" max="5895" width="12.6640625" style="276" customWidth="1"/>
    <col min="5896" max="5896" width="17.6640625" style="276" customWidth="1"/>
    <col min="5897" max="5898" width="15.6640625" style="276" customWidth="1"/>
    <col min="5899" max="5901" width="18.6640625" style="276" customWidth="1"/>
    <col min="5902" max="5909" width="15.88671875" style="276" customWidth="1"/>
    <col min="5910" max="6144" width="9.109375" style="276"/>
    <col min="6145" max="6145" width="26.6640625" style="276" customWidth="1"/>
    <col min="6146" max="6147" width="18.6640625" style="276" customWidth="1"/>
    <col min="6148" max="6148" width="27.6640625" style="276" customWidth="1"/>
    <col min="6149" max="6149" width="15.6640625" style="276" customWidth="1"/>
    <col min="6150" max="6151" width="12.6640625" style="276" customWidth="1"/>
    <col min="6152" max="6152" width="17.6640625" style="276" customWidth="1"/>
    <col min="6153" max="6154" width="15.6640625" style="276" customWidth="1"/>
    <col min="6155" max="6157" width="18.6640625" style="276" customWidth="1"/>
    <col min="6158" max="6165" width="15.88671875" style="276" customWidth="1"/>
    <col min="6166" max="6400" width="9.109375" style="276"/>
    <col min="6401" max="6401" width="26.6640625" style="276" customWidth="1"/>
    <col min="6402" max="6403" width="18.6640625" style="276" customWidth="1"/>
    <col min="6404" max="6404" width="27.6640625" style="276" customWidth="1"/>
    <col min="6405" max="6405" width="15.6640625" style="276" customWidth="1"/>
    <col min="6406" max="6407" width="12.6640625" style="276" customWidth="1"/>
    <col min="6408" max="6408" width="17.6640625" style="276" customWidth="1"/>
    <col min="6409" max="6410" width="15.6640625" style="276" customWidth="1"/>
    <col min="6411" max="6413" width="18.6640625" style="276" customWidth="1"/>
    <col min="6414" max="6421" width="15.88671875" style="276" customWidth="1"/>
    <col min="6422" max="6656" width="9.109375" style="276"/>
    <col min="6657" max="6657" width="26.6640625" style="276" customWidth="1"/>
    <col min="6658" max="6659" width="18.6640625" style="276" customWidth="1"/>
    <col min="6660" max="6660" width="27.6640625" style="276" customWidth="1"/>
    <col min="6661" max="6661" width="15.6640625" style="276" customWidth="1"/>
    <col min="6662" max="6663" width="12.6640625" style="276" customWidth="1"/>
    <col min="6664" max="6664" width="17.6640625" style="276" customWidth="1"/>
    <col min="6665" max="6666" width="15.6640625" style="276" customWidth="1"/>
    <col min="6667" max="6669" width="18.6640625" style="276" customWidth="1"/>
    <col min="6670" max="6677" width="15.88671875" style="276" customWidth="1"/>
    <col min="6678" max="6912" width="9.109375" style="276"/>
    <col min="6913" max="6913" width="26.6640625" style="276" customWidth="1"/>
    <col min="6914" max="6915" width="18.6640625" style="276" customWidth="1"/>
    <col min="6916" max="6916" width="27.6640625" style="276" customWidth="1"/>
    <col min="6917" max="6917" width="15.6640625" style="276" customWidth="1"/>
    <col min="6918" max="6919" width="12.6640625" style="276" customWidth="1"/>
    <col min="6920" max="6920" width="17.6640625" style="276" customWidth="1"/>
    <col min="6921" max="6922" width="15.6640625" style="276" customWidth="1"/>
    <col min="6923" max="6925" width="18.6640625" style="276" customWidth="1"/>
    <col min="6926" max="6933" width="15.88671875" style="276" customWidth="1"/>
    <col min="6934" max="7168" width="9.109375" style="276"/>
    <col min="7169" max="7169" width="26.6640625" style="276" customWidth="1"/>
    <col min="7170" max="7171" width="18.6640625" style="276" customWidth="1"/>
    <col min="7172" max="7172" width="27.6640625" style="276" customWidth="1"/>
    <col min="7173" max="7173" width="15.6640625" style="276" customWidth="1"/>
    <col min="7174" max="7175" width="12.6640625" style="276" customWidth="1"/>
    <col min="7176" max="7176" width="17.6640625" style="276" customWidth="1"/>
    <col min="7177" max="7178" width="15.6640625" style="276" customWidth="1"/>
    <col min="7179" max="7181" width="18.6640625" style="276" customWidth="1"/>
    <col min="7182" max="7189" width="15.88671875" style="276" customWidth="1"/>
    <col min="7190" max="7424" width="9.109375" style="276"/>
    <col min="7425" max="7425" width="26.6640625" style="276" customWidth="1"/>
    <col min="7426" max="7427" width="18.6640625" style="276" customWidth="1"/>
    <col min="7428" max="7428" width="27.6640625" style="276" customWidth="1"/>
    <col min="7429" max="7429" width="15.6640625" style="276" customWidth="1"/>
    <col min="7430" max="7431" width="12.6640625" style="276" customWidth="1"/>
    <col min="7432" max="7432" width="17.6640625" style="276" customWidth="1"/>
    <col min="7433" max="7434" width="15.6640625" style="276" customWidth="1"/>
    <col min="7435" max="7437" width="18.6640625" style="276" customWidth="1"/>
    <col min="7438" max="7445" width="15.88671875" style="276" customWidth="1"/>
    <col min="7446" max="7680" width="9.109375" style="276"/>
    <col min="7681" max="7681" width="26.6640625" style="276" customWidth="1"/>
    <col min="7682" max="7683" width="18.6640625" style="276" customWidth="1"/>
    <col min="7684" max="7684" width="27.6640625" style="276" customWidth="1"/>
    <col min="7685" max="7685" width="15.6640625" style="276" customWidth="1"/>
    <col min="7686" max="7687" width="12.6640625" style="276" customWidth="1"/>
    <col min="7688" max="7688" width="17.6640625" style="276" customWidth="1"/>
    <col min="7689" max="7690" width="15.6640625" style="276" customWidth="1"/>
    <col min="7691" max="7693" width="18.6640625" style="276" customWidth="1"/>
    <col min="7694" max="7701" width="15.88671875" style="276" customWidth="1"/>
    <col min="7702" max="7936" width="9.109375" style="276"/>
    <col min="7937" max="7937" width="26.6640625" style="276" customWidth="1"/>
    <col min="7938" max="7939" width="18.6640625" style="276" customWidth="1"/>
    <col min="7940" max="7940" width="27.6640625" style="276" customWidth="1"/>
    <col min="7941" max="7941" width="15.6640625" style="276" customWidth="1"/>
    <col min="7942" max="7943" width="12.6640625" style="276" customWidth="1"/>
    <col min="7944" max="7944" width="17.6640625" style="276" customWidth="1"/>
    <col min="7945" max="7946" width="15.6640625" style="276" customWidth="1"/>
    <col min="7947" max="7949" width="18.6640625" style="276" customWidth="1"/>
    <col min="7950" max="7957" width="15.88671875" style="276" customWidth="1"/>
    <col min="7958" max="8192" width="9.109375" style="276"/>
    <col min="8193" max="8193" width="26.6640625" style="276" customWidth="1"/>
    <col min="8194" max="8195" width="18.6640625" style="276" customWidth="1"/>
    <col min="8196" max="8196" width="27.6640625" style="276" customWidth="1"/>
    <col min="8197" max="8197" width="15.6640625" style="276" customWidth="1"/>
    <col min="8198" max="8199" width="12.6640625" style="276" customWidth="1"/>
    <col min="8200" max="8200" width="17.6640625" style="276" customWidth="1"/>
    <col min="8201" max="8202" width="15.6640625" style="276" customWidth="1"/>
    <col min="8203" max="8205" width="18.6640625" style="276" customWidth="1"/>
    <col min="8206" max="8213" width="15.88671875" style="276" customWidth="1"/>
    <col min="8214" max="8448" width="9.109375" style="276"/>
    <col min="8449" max="8449" width="26.6640625" style="276" customWidth="1"/>
    <col min="8450" max="8451" width="18.6640625" style="276" customWidth="1"/>
    <col min="8452" max="8452" width="27.6640625" style="276" customWidth="1"/>
    <col min="8453" max="8453" width="15.6640625" style="276" customWidth="1"/>
    <col min="8454" max="8455" width="12.6640625" style="276" customWidth="1"/>
    <col min="8456" max="8456" width="17.6640625" style="276" customWidth="1"/>
    <col min="8457" max="8458" width="15.6640625" style="276" customWidth="1"/>
    <col min="8459" max="8461" width="18.6640625" style="276" customWidth="1"/>
    <col min="8462" max="8469" width="15.88671875" style="276" customWidth="1"/>
    <col min="8470" max="8704" width="9.109375" style="276"/>
    <col min="8705" max="8705" width="26.6640625" style="276" customWidth="1"/>
    <col min="8706" max="8707" width="18.6640625" style="276" customWidth="1"/>
    <col min="8708" max="8708" width="27.6640625" style="276" customWidth="1"/>
    <col min="8709" max="8709" width="15.6640625" style="276" customWidth="1"/>
    <col min="8710" max="8711" width="12.6640625" style="276" customWidth="1"/>
    <col min="8712" max="8712" width="17.6640625" style="276" customWidth="1"/>
    <col min="8713" max="8714" width="15.6640625" style="276" customWidth="1"/>
    <col min="8715" max="8717" width="18.6640625" style="276" customWidth="1"/>
    <col min="8718" max="8725" width="15.88671875" style="276" customWidth="1"/>
    <col min="8726" max="8960" width="9.109375" style="276"/>
    <col min="8961" max="8961" width="26.6640625" style="276" customWidth="1"/>
    <col min="8962" max="8963" width="18.6640625" style="276" customWidth="1"/>
    <col min="8964" max="8964" width="27.6640625" style="276" customWidth="1"/>
    <col min="8965" max="8965" width="15.6640625" style="276" customWidth="1"/>
    <col min="8966" max="8967" width="12.6640625" style="276" customWidth="1"/>
    <col min="8968" max="8968" width="17.6640625" style="276" customWidth="1"/>
    <col min="8969" max="8970" width="15.6640625" style="276" customWidth="1"/>
    <col min="8971" max="8973" width="18.6640625" style="276" customWidth="1"/>
    <col min="8974" max="8981" width="15.88671875" style="276" customWidth="1"/>
    <col min="8982" max="9216" width="9.109375" style="276"/>
    <col min="9217" max="9217" width="26.6640625" style="276" customWidth="1"/>
    <col min="9218" max="9219" width="18.6640625" style="276" customWidth="1"/>
    <col min="9220" max="9220" width="27.6640625" style="276" customWidth="1"/>
    <col min="9221" max="9221" width="15.6640625" style="276" customWidth="1"/>
    <col min="9222" max="9223" width="12.6640625" style="276" customWidth="1"/>
    <col min="9224" max="9224" width="17.6640625" style="276" customWidth="1"/>
    <col min="9225" max="9226" width="15.6640625" style="276" customWidth="1"/>
    <col min="9227" max="9229" width="18.6640625" style="276" customWidth="1"/>
    <col min="9230" max="9237" width="15.88671875" style="276" customWidth="1"/>
    <col min="9238" max="9472" width="9.109375" style="276"/>
    <col min="9473" max="9473" width="26.6640625" style="276" customWidth="1"/>
    <col min="9474" max="9475" width="18.6640625" style="276" customWidth="1"/>
    <col min="9476" max="9476" width="27.6640625" style="276" customWidth="1"/>
    <col min="9477" max="9477" width="15.6640625" style="276" customWidth="1"/>
    <col min="9478" max="9479" width="12.6640625" style="276" customWidth="1"/>
    <col min="9480" max="9480" width="17.6640625" style="276" customWidth="1"/>
    <col min="9481" max="9482" width="15.6640625" style="276" customWidth="1"/>
    <col min="9483" max="9485" width="18.6640625" style="276" customWidth="1"/>
    <col min="9486" max="9493" width="15.88671875" style="276" customWidth="1"/>
    <col min="9494" max="9728" width="9.109375" style="276"/>
    <col min="9729" max="9729" width="26.6640625" style="276" customWidth="1"/>
    <col min="9730" max="9731" width="18.6640625" style="276" customWidth="1"/>
    <col min="9732" max="9732" width="27.6640625" style="276" customWidth="1"/>
    <col min="9733" max="9733" width="15.6640625" style="276" customWidth="1"/>
    <col min="9734" max="9735" width="12.6640625" style="276" customWidth="1"/>
    <col min="9736" max="9736" width="17.6640625" style="276" customWidth="1"/>
    <col min="9737" max="9738" width="15.6640625" style="276" customWidth="1"/>
    <col min="9739" max="9741" width="18.6640625" style="276" customWidth="1"/>
    <col min="9742" max="9749" width="15.88671875" style="276" customWidth="1"/>
    <col min="9750" max="9984" width="9.109375" style="276"/>
    <col min="9985" max="9985" width="26.6640625" style="276" customWidth="1"/>
    <col min="9986" max="9987" width="18.6640625" style="276" customWidth="1"/>
    <col min="9988" max="9988" width="27.6640625" style="276" customWidth="1"/>
    <col min="9989" max="9989" width="15.6640625" style="276" customWidth="1"/>
    <col min="9990" max="9991" width="12.6640625" style="276" customWidth="1"/>
    <col min="9992" max="9992" width="17.6640625" style="276" customWidth="1"/>
    <col min="9993" max="9994" width="15.6640625" style="276" customWidth="1"/>
    <col min="9995" max="9997" width="18.6640625" style="276" customWidth="1"/>
    <col min="9998" max="10005" width="15.88671875" style="276" customWidth="1"/>
    <col min="10006" max="10240" width="9.109375" style="276"/>
    <col min="10241" max="10241" width="26.6640625" style="276" customWidth="1"/>
    <col min="10242" max="10243" width="18.6640625" style="276" customWidth="1"/>
    <col min="10244" max="10244" width="27.6640625" style="276" customWidth="1"/>
    <col min="10245" max="10245" width="15.6640625" style="276" customWidth="1"/>
    <col min="10246" max="10247" width="12.6640625" style="276" customWidth="1"/>
    <col min="10248" max="10248" width="17.6640625" style="276" customWidth="1"/>
    <col min="10249" max="10250" width="15.6640625" style="276" customWidth="1"/>
    <col min="10251" max="10253" width="18.6640625" style="276" customWidth="1"/>
    <col min="10254" max="10261" width="15.88671875" style="276" customWidth="1"/>
    <col min="10262" max="10496" width="9.109375" style="276"/>
    <col min="10497" max="10497" width="26.6640625" style="276" customWidth="1"/>
    <col min="10498" max="10499" width="18.6640625" style="276" customWidth="1"/>
    <col min="10500" max="10500" width="27.6640625" style="276" customWidth="1"/>
    <col min="10501" max="10501" width="15.6640625" style="276" customWidth="1"/>
    <col min="10502" max="10503" width="12.6640625" style="276" customWidth="1"/>
    <col min="10504" max="10504" width="17.6640625" style="276" customWidth="1"/>
    <col min="10505" max="10506" width="15.6640625" style="276" customWidth="1"/>
    <col min="10507" max="10509" width="18.6640625" style="276" customWidth="1"/>
    <col min="10510" max="10517" width="15.88671875" style="276" customWidth="1"/>
    <col min="10518" max="10752" width="9.109375" style="276"/>
    <col min="10753" max="10753" width="26.6640625" style="276" customWidth="1"/>
    <col min="10754" max="10755" width="18.6640625" style="276" customWidth="1"/>
    <col min="10756" max="10756" width="27.6640625" style="276" customWidth="1"/>
    <col min="10757" max="10757" width="15.6640625" style="276" customWidth="1"/>
    <col min="10758" max="10759" width="12.6640625" style="276" customWidth="1"/>
    <col min="10760" max="10760" width="17.6640625" style="276" customWidth="1"/>
    <col min="10761" max="10762" width="15.6640625" style="276" customWidth="1"/>
    <col min="10763" max="10765" width="18.6640625" style="276" customWidth="1"/>
    <col min="10766" max="10773" width="15.88671875" style="276" customWidth="1"/>
    <col min="10774" max="11008" width="9.109375" style="276"/>
    <col min="11009" max="11009" width="26.6640625" style="276" customWidth="1"/>
    <col min="11010" max="11011" width="18.6640625" style="276" customWidth="1"/>
    <col min="11012" max="11012" width="27.6640625" style="276" customWidth="1"/>
    <col min="11013" max="11013" width="15.6640625" style="276" customWidth="1"/>
    <col min="11014" max="11015" width="12.6640625" style="276" customWidth="1"/>
    <col min="11016" max="11016" width="17.6640625" style="276" customWidth="1"/>
    <col min="11017" max="11018" width="15.6640625" style="276" customWidth="1"/>
    <col min="11019" max="11021" width="18.6640625" style="276" customWidth="1"/>
    <col min="11022" max="11029" width="15.88671875" style="276" customWidth="1"/>
    <col min="11030" max="11264" width="9.109375" style="276"/>
    <col min="11265" max="11265" width="26.6640625" style="276" customWidth="1"/>
    <col min="11266" max="11267" width="18.6640625" style="276" customWidth="1"/>
    <col min="11268" max="11268" width="27.6640625" style="276" customWidth="1"/>
    <col min="11269" max="11269" width="15.6640625" style="276" customWidth="1"/>
    <col min="11270" max="11271" width="12.6640625" style="276" customWidth="1"/>
    <col min="11272" max="11272" width="17.6640625" style="276" customWidth="1"/>
    <col min="11273" max="11274" width="15.6640625" style="276" customWidth="1"/>
    <col min="11275" max="11277" width="18.6640625" style="276" customWidth="1"/>
    <col min="11278" max="11285" width="15.88671875" style="276" customWidth="1"/>
    <col min="11286" max="11520" width="9.109375" style="276"/>
    <col min="11521" max="11521" width="26.6640625" style="276" customWidth="1"/>
    <col min="11522" max="11523" width="18.6640625" style="276" customWidth="1"/>
    <col min="11524" max="11524" width="27.6640625" style="276" customWidth="1"/>
    <col min="11525" max="11525" width="15.6640625" style="276" customWidth="1"/>
    <col min="11526" max="11527" width="12.6640625" style="276" customWidth="1"/>
    <col min="11528" max="11528" width="17.6640625" style="276" customWidth="1"/>
    <col min="11529" max="11530" width="15.6640625" style="276" customWidth="1"/>
    <col min="11531" max="11533" width="18.6640625" style="276" customWidth="1"/>
    <col min="11534" max="11541" width="15.88671875" style="276" customWidth="1"/>
    <col min="11542" max="11776" width="9.109375" style="276"/>
    <col min="11777" max="11777" width="26.6640625" style="276" customWidth="1"/>
    <col min="11778" max="11779" width="18.6640625" style="276" customWidth="1"/>
    <col min="11780" max="11780" width="27.6640625" style="276" customWidth="1"/>
    <col min="11781" max="11781" width="15.6640625" style="276" customWidth="1"/>
    <col min="11782" max="11783" width="12.6640625" style="276" customWidth="1"/>
    <col min="11784" max="11784" width="17.6640625" style="276" customWidth="1"/>
    <col min="11785" max="11786" width="15.6640625" style="276" customWidth="1"/>
    <col min="11787" max="11789" width="18.6640625" style="276" customWidth="1"/>
    <col min="11790" max="11797" width="15.88671875" style="276" customWidth="1"/>
    <col min="11798" max="12032" width="9.109375" style="276"/>
    <col min="12033" max="12033" width="26.6640625" style="276" customWidth="1"/>
    <col min="12034" max="12035" width="18.6640625" style="276" customWidth="1"/>
    <col min="12036" max="12036" width="27.6640625" style="276" customWidth="1"/>
    <col min="12037" max="12037" width="15.6640625" style="276" customWidth="1"/>
    <col min="12038" max="12039" width="12.6640625" style="276" customWidth="1"/>
    <col min="12040" max="12040" width="17.6640625" style="276" customWidth="1"/>
    <col min="12041" max="12042" width="15.6640625" style="276" customWidth="1"/>
    <col min="12043" max="12045" width="18.6640625" style="276" customWidth="1"/>
    <col min="12046" max="12053" width="15.88671875" style="276" customWidth="1"/>
    <col min="12054" max="12288" width="9.109375" style="276"/>
    <col min="12289" max="12289" width="26.6640625" style="276" customWidth="1"/>
    <col min="12290" max="12291" width="18.6640625" style="276" customWidth="1"/>
    <col min="12292" max="12292" width="27.6640625" style="276" customWidth="1"/>
    <col min="12293" max="12293" width="15.6640625" style="276" customWidth="1"/>
    <col min="12294" max="12295" width="12.6640625" style="276" customWidth="1"/>
    <col min="12296" max="12296" width="17.6640625" style="276" customWidth="1"/>
    <col min="12297" max="12298" width="15.6640625" style="276" customWidth="1"/>
    <col min="12299" max="12301" width="18.6640625" style="276" customWidth="1"/>
    <col min="12302" max="12309" width="15.88671875" style="276" customWidth="1"/>
    <col min="12310" max="12544" width="9.109375" style="276"/>
    <col min="12545" max="12545" width="26.6640625" style="276" customWidth="1"/>
    <col min="12546" max="12547" width="18.6640625" style="276" customWidth="1"/>
    <col min="12548" max="12548" width="27.6640625" style="276" customWidth="1"/>
    <col min="12549" max="12549" width="15.6640625" style="276" customWidth="1"/>
    <col min="12550" max="12551" width="12.6640625" style="276" customWidth="1"/>
    <col min="12552" max="12552" width="17.6640625" style="276" customWidth="1"/>
    <col min="12553" max="12554" width="15.6640625" style="276" customWidth="1"/>
    <col min="12555" max="12557" width="18.6640625" style="276" customWidth="1"/>
    <col min="12558" max="12565" width="15.88671875" style="276" customWidth="1"/>
    <col min="12566" max="12800" width="9.109375" style="276"/>
    <col min="12801" max="12801" width="26.6640625" style="276" customWidth="1"/>
    <col min="12802" max="12803" width="18.6640625" style="276" customWidth="1"/>
    <col min="12804" max="12804" width="27.6640625" style="276" customWidth="1"/>
    <col min="12805" max="12805" width="15.6640625" style="276" customWidth="1"/>
    <col min="12806" max="12807" width="12.6640625" style="276" customWidth="1"/>
    <col min="12808" max="12808" width="17.6640625" style="276" customWidth="1"/>
    <col min="12809" max="12810" width="15.6640625" style="276" customWidth="1"/>
    <col min="12811" max="12813" width="18.6640625" style="276" customWidth="1"/>
    <col min="12814" max="12821" width="15.88671875" style="276" customWidth="1"/>
    <col min="12822" max="13056" width="9.109375" style="276"/>
    <col min="13057" max="13057" width="26.6640625" style="276" customWidth="1"/>
    <col min="13058" max="13059" width="18.6640625" style="276" customWidth="1"/>
    <col min="13060" max="13060" width="27.6640625" style="276" customWidth="1"/>
    <col min="13061" max="13061" width="15.6640625" style="276" customWidth="1"/>
    <col min="13062" max="13063" width="12.6640625" style="276" customWidth="1"/>
    <col min="13064" max="13064" width="17.6640625" style="276" customWidth="1"/>
    <col min="13065" max="13066" width="15.6640625" style="276" customWidth="1"/>
    <col min="13067" max="13069" width="18.6640625" style="276" customWidth="1"/>
    <col min="13070" max="13077" width="15.88671875" style="276" customWidth="1"/>
    <col min="13078" max="13312" width="9.109375" style="276"/>
    <col min="13313" max="13313" width="26.6640625" style="276" customWidth="1"/>
    <col min="13314" max="13315" width="18.6640625" style="276" customWidth="1"/>
    <col min="13316" max="13316" width="27.6640625" style="276" customWidth="1"/>
    <col min="13317" max="13317" width="15.6640625" style="276" customWidth="1"/>
    <col min="13318" max="13319" width="12.6640625" style="276" customWidth="1"/>
    <col min="13320" max="13320" width="17.6640625" style="276" customWidth="1"/>
    <col min="13321" max="13322" width="15.6640625" style="276" customWidth="1"/>
    <col min="13323" max="13325" width="18.6640625" style="276" customWidth="1"/>
    <col min="13326" max="13333" width="15.88671875" style="276" customWidth="1"/>
    <col min="13334" max="13568" width="9.109375" style="276"/>
    <col min="13569" max="13569" width="26.6640625" style="276" customWidth="1"/>
    <col min="13570" max="13571" width="18.6640625" style="276" customWidth="1"/>
    <col min="13572" max="13572" width="27.6640625" style="276" customWidth="1"/>
    <col min="13573" max="13573" width="15.6640625" style="276" customWidth="1"/>
    <col min="13574" max="13575" width="12.6640625" style="276" customWidth="1"/>
    <col min="13576" max="13576" width="17.6640625" style="276" customWidth="1"/>
    <col min="13577" max="13578" width="15.6640625" style="276" customWidth="1"/>
    <col min="13579" max="13581" width="18.6640625" style="276" customWidth="1"/>
    <col min="13582" max="13589" width="15.88671875" style="276" customWidth="1"/>
    <col min="13590" max="13824" width="9.109375" style="276"/>
    <col min="13825" max="13825" width="26.6640625" style="276" customWidth="1"/>
    <col min="13826" max="13827" width="18.6640625" style="276" customWidth="1"/>
    <col min="13828" max="13828" width="27.6640625" style="276" customWidth="1"/>
    <col min="13829" max="13829" width="15.6640625" style="276" customWidth="1"/>
    <col min="13830" max="13831" width="12.6640625" style="276" customWidth="1"/>
    <col min="13832" max="13832" width="17.6640625" style="276" customWidth="1"/>
    <col min="13833" max="13834" width="15.6640625" style="276" customWidth="1"/>
    <col min="13835" max="13837" width="18.6640625" style="276" customWidth="1"/>
    <col min="13838" max="13845" width="15.88671875" style="276" customWidth="1"/>
    <col min="13846" max="14080" width="9.109375" style="276"/>
    <col min="14081" max="14081" width="26.6640625" style="276" customWidth="1"/>
    <col min="14082" max="14083" width="18.6640625" style="276" customWidth="1"/>
    <col min="14084" max="14084" width="27.6640625" style="276" customWidth="1"/>
    <col min="14085" max="14085" width="15.6640625" style="276" customWidth="1"/>
    <col min="14086" max="14087" width="12.6640625" style="276" customWidth="1"/>
    <col min="14088" max="14088" width="17.6640625" style="276" customWidth="1"/>
    <col min="14089" max="14090" width="15.6640625" style="276" customWidth="1"/>
    <col min="14091" max="14093" width="18.6640625" style="276" customWidth="1"/>
    <col min="14094" max="14101" width="15.88671875" style="276" customWidth="1"/>
    <col min="14102" max="14336" width="9.109375" style="276"/>
    <col min="14337" max="14337" width="26.6640625" style="276" customWidth="1"/>
    <col min="14338" max="14339" width="18.6640625" style="276" customWidth="1"/>
    <col min="14340" max="14340" width="27.6640625" style="276" customWidth="1"/>
    <col min="14341" max="14341" width="15.6640625" style="276" customWidth="1"/>
    <col min="14342" max="14343" width="12.6640625" style="276" customWidth="1"/>
    <col min="14344" max="14344" width="17.6640625" style="276" customWidth="1"/>
    <col min="14345" max="14346" width="15.6640625" style="276" customWidth="1"/>
    <col min="14347" max="14349" width="18.6640625" style="276" customWidth="1"/>
    <col min="14350" max="14357" width="15.88671875" style="276" customWidth="1"/>
    <col min="14358" max="14592" width="9.109375" style="276"/>
    <col min="14593" max="14593" width="26.6640625" style="276" customWidth="1"/>
    <col min="14594" max="14595" width="18.6640625" style="276" customWidth="1"/>
    <col min="14596" max="14596" width="27.6640625" style="276" customWidth="1"/>
    <col min="14597" max="14597" width="15.6640625" style="276" customWidth="1"/>
    <col min="14598" max="14599" width="12.6640625" style="276" customWidth="1"/>
    <col min="14600" max="14600" width="17.6640625" style="276" customWidth="1"/>
    <col min="14601" max="14602" width="15.6640625" style="276" customWidth="1"/>
    <col min="14603" max="14605" width="18.6640625" style="276" customWidth="1"/>
    <col min="14606" max="14613" width="15.88671875" style="276" customWidth="1"/>
    <col min="14614" max="14848" width="9.109375" style="276"/>
    <col min="14849" max="14849" width="26.6640625" style="276" customWidth="1"/>
    <col min="14850" max="14851" width="18.6640625" style="276" customWidth="1"/>
    <col min="14852" max="14852" width="27.6640625" style="276" customWidth="1"/>
    <col min="14853" max="14853" width="15.6640625" style="276" customWidth="1"/>
    <col min="14854" max="14855" width="12.6640625" style="276" customWidth="1"/>
    <col min="14856" max="14856" width="17.6640625" style="276" customWidth="1"/>
    <col min="14857" max="14858" width="15.6640625" style="276" customWidth="1"/>
    <col min="14859" max="14861" width="18.6640625" style="276" customWidth="1"/>
    <col min="14862" max="14869" width="15.88671875" style="276" customWidth="1"/>
    <col min="14870" max="15104" width="9.109375" style="276"/>
    <col min="15105" max="15105" width="26.6640625" style="276" customWidth="1"/>
    <col min="15106" max="15107" width="18.6640625" style="276" customWidth="1"/>
    <col min="15108" max="15108" width="27.6640625" style="276" customWidth="1"/>
    <col min="15109" max="15109" width="15.6640625" style="276" customWidth="1"/>
    <col min="15110" max="15111" width="12.6640625" style="276" customWidth="1"/>
    <col min="15112" max="15112" width="17.6640625" style="276" customWidth="1"/>
    <col min="15113" max="15114" width="15.6640625" style="276" customWidth="1"/>
    <col min="15115" max="15117" width="18.6640625" style="276" customWidth="1"/>
    <col min="15118" max="15125" width="15.88671875" style="276" customWidth="1"/>
    <col min="15126" max="15360" width="9.109375" style="276"/>
    <col min="15361" max="15361" width="26.6640625" style="276" customWidth="1"/>
    <col min="15362" max="15363" width="18.6640625" style="276" customWidth="1"/>
    <col min="15364" max="15364" width="27.6640625" style="276" customWidth="1"/>
    <col min="15365" max="15365" width="15.6640625" style="276" customWidth="1"/>
    <col min="15366" max="15367" width="12.6640625" style="276" customWidth="1"/>
    <col min="15368" max="15368" width="17.6640625" style="276" customWidth="1"/>
    <col min="15369" max="15370" width="15.6640625" style="276" customWidth="1"/>
    <col min="15371" max="15373" width="18.6640625" style="276" customWidth="1"/>
    <col min="15374" max="15381" width="15.88671875" style="276" customWidth="1"/>
    <col min="15382" max="15616" width="9.109375" style="276"/>
    <col min="15617" max="15617" width="26.6640625" style="276" customWidth="1"/>
    <col min="15618" max="15619" width="18.6640625" style="276" customWidth="1"/>
    <col min="15620" max="15620" width="27.6640625" style="276" customWidth="1"/>
    <col min="15621" max="15621" width="15.6640625" style="276" customWidth="1"/>
    <col min="15622" max="15623" width="12.6640625" style="276" customWidth="1"/>
    <col min="15624" max="15624" width="17.6640625" style="276" customWidth="1"/>
    <col min="15625" max="15626" width="15.6640625" style="276" customWidth="1"/>
    <col min="15627" max="15629" width="18.6640625" style="276" customWidth="1"/>
    <col min="15630" max="15637" width="15.88671875" style="276" customWidth="1"/>
    <col min="15638" max="15872" width="9.109375" style="276"/>
    <col min="15873" max="15873" width="26.6640625" style="276" customWidth="1"/>
    <col min="15874" max="15875" width="18.6640625" style="276" customWidth="1"/>
    <col min="15876" max="15876" width="27.6640625" style="276" customWidth="1"/>
    <col min="15877" max="15877" width="15.6640625" style="276" customWidth="1"/>
    <col min="15878" max="15879" width="12.6640625" style="276" customWidth="1"/>
    <col min="15880" max="15880" width="17.6640625" style="276" customWidth="1"/>
    <col min="15881" max="15882" width="15.6640625" style="276" customWidth="1"/>
    <col min="15883" max="15885" width="18.6640625" style="276" customWidth="1"/>
    <col min="15886" max="15893" width="15.88671875" style="276" customWidth="1"/>
    <col min="15894" max="16128" width="9.109375" style="276"/>
    <col min="16129" max="16129" width="26.6640625" style="276" customWidth="1"/>
    <col min="16130" max="16131" width="18.6640625" style="276" customWidth="1"/>
    <col min="16132" max="16132" width="27.6640625" style="276" customWidth="1"/>
    <col min="16133" max="16133" width="15.6640625" style="276" customWidth="1"/>
    <col min="16134" max="16135" width="12.6640625" style="276" customWidth="1"/>
    <col min="16136" max="16136" width="17.6640625" style="276" customWidth="1"/>
    <col min="16137" max="16138" width="15.6640625" style="276" customWidth="1"/>
    <col min="16139" max="16141" width="18.6640625" style="276" customWidth="1"/>
    <col min="16142" max="16149" width="15.88671875" style="276" customWidth="1"/>
    <col min="16150" max="16384" width="9.109375" style="276"/>
  </cols>
  <sheetData>
    <row r="1" spans="1:21" ht="17.399999999999999" x14ac:dyDescent="0.3">
      <c r="A1" s="542" t="s">
        <v>60</v>
      </c>
      <c r="B1" s="543"/>
      <c r="C1" s="543"/>
      <c r="D1" s="543"/>
      <c r="E1" s="543"/>
      <c r="F1" s="543"/>
      <c r="G1" s="543"/>
      <c r="H1" s="543"/>
      <c r="I1" s="543"/>
      <c r="J1" s="544"/>
      <c r="K1" s="542" t="s">
        <v>60</v>
      </c>
      <c r="L1" s="543"/>
      <c r="M1" s="543"/>
      <c r="N1" s="543"/>
      <c r="O1" s="543"/>
      <c r="P1" s="543"/>
      <c r="Q1" s="543"/>
      <c r="R1" s="543"/>
      <c r="S1" s="543"/>
      <c r="T1" s="543"/>
      <c r="U1" s="544"/>
    </row>
    <row r="2" spans="1:21" ht="17.399999999999999" x14ac:dyDescent="0.3">
      <c r="A2" s="545" t="s">
        <v>239</v>
      </c>
      <c r="B2" s="546"/>
      <c r="C2" s="546"/>
      <c r="D2" s="546"/>
      <c r="E2" s="546"/>
      <c r="F2" s="546"/>
      <c r="G2" s="546"/>
      <c r="H2" s="546"/>
      <c r="I2" s="546"/>
      <c r="J2" s="547"/>
      <c r="K2" s="545" t="s">
        <v>238</v>
      </c>
      <c r="L2" s="546"/>
      <c r="M2" s="546"/>
      <c r="N2" s="546"/>
      <c r="O2" s="546"/>
      <c r="P2" s="546"/>
      <c r="Q2" s="546"/>
      <c r="R2" s="546"/>
      <c r="S2" s="546"/>
      <c r="T2" s="546"/>
      <c r="U2" s="547"/>
    </row>
    <row r="3" spans="1:21" x14ac:dyDescent="0.3">
      <c r="A3" s="389"/>
      <c r="B3" s="387"/>
      <c r="C3" s="388"/>
      <c r="D3" s="548" t="s">
        <v>240</v>
      </c>
      <c r="E3" s="548"/>
      <c r="F3" s="548"/>
      <c r="G3" s="388"/>
      <c r="H3" s="387"/>
      <c r="I3" s="387"/>
      <c r="J3" s="386"/>
      <c r="K3" s="389"/>
      <c r="L3" s="387"/>
      <c r="M3" s="388"/>
      <c r="N3" s="548" t="s">
        <v>240</v>
      </c>
      <c r="O3" s="548"/>
      <c r="P3" s="548"/>
      <c r="Q3" s="548"/>
      <c r="R3" s="388"/>
      <c r="S3" s="388"/>
      <c r="T3" s="387"/>
      <c r="U3" s="386"/>
    </row>
    <row r="4" spans="1:21" x14ac:dyDescent="0.3">
      <c r="A4" s="385"/>
      <c r="B4" s="384"/>
      <c r="C4" s="384"/>
      <c r="D4" s="384"/>
      <c r="E4" s="384"/>
      <c r="F4" s="522" t="s">
        <v>70</v>
      </c>
      <c r="G4" s="522"/>
      <c r="H4" s="522"/>
      <c r="I4" s="522"/>
      <c r="J4" s="523"/>
      <c r="K4" s="383"/>
      <c r="L4" s="382"/>
      <c r="M4" s="382"/>
      <c r="N4" s="382"/>
      <c r="O4" s="382"/>
      <c r="P4" s="382"/>
      <c r="Q4" s="382"/>
      <c r="R4" s="382"/>
      <c r="S4" s="382"/>
      <c r="T4" s="382"/>
      <c r="U4" s="381"/>
    </row>
    <row r="5" spans="1:21" x14ac:dyDescent="0.3">
      <c r="A5" s="350" t="s">
        <v>71</v>
      </c>
      <c r="B5" s="524" t="s">
        <v>72</v>
      </c>
      <c r="C5" s="525"/>
      <c r="D5" s="354" t="s">
        <v>73</v>
      </c>
      <c r="E5" s="352"/>
      <c r="F5" s="354" t="s">
        <v>74</v>
      </c>
      <c r="G5" s="353"/>
      <c r="H5" s="315" t="s">
        <v>75</v>
      </c>
      <c r="I5" s="305" t="s">
        <v>70</v>
      </c>
      <c r="J5" s="305"/>
      <c r="K5" s="350" t="s">
        <v>71</v>
      </c>
      <c r="L5" s="526" t="s">
        <v>72</v>
      </c>
      <c r="M5" s="527"/>
      <c r="N5" s="354" t="s">
        <v>76</v>
      </c>
      <c r="O5" s="353"/>
      <c r="P5" s="528" t="s">
        <v>236</v>
      </c>
      <c r="Q5" s="529"/>
      <c r="R5" s="529"/>
      <c r="S5" s="529"/>
      <c r="T5" s="529"/>
      <c r="U5" s="530"/>
    </row>
    <row r="6" spans="1:21" x14ac:dyDescent="0.3">
      <c r="A6" s="297" t="s">
        <v>77</v>
      </c>
      <c r="B6" s="537" t="s">
        <v>186</v>
      </c>
      <c r="C6" s="538"/>
      <c r="D6" s="380" t="s">
        <v>79</v>
      </c>
      <c r="E6" s="379">
        <v>0.97579800000000005</v>
      </c>
      <c r="F6" s="366" t="s">
        <v>194</v>
      </c>
      <c r="G6" s="347"/>
      <c r="H6" s="378">
        <v>75.212353167640018</v>
      </c>
      <c r="I6" s="377" t="s">
        <v>70</v>
      </c>
      <c r="J6" s="376"/>
      <c r="K6" s="297" t="s">
        <v>77</v>
      </c>
      <c r="L6" s="539" t="s">
        <v>186</v>
      </c>
      <c r="M6" s="511"/>
      <c r="N6" s="375">
        <v>199655.49575892842</v>
      </c>
      <c r="O6" s="374"/>
      <c r="P6" s="531"/>
      <c r="Q6" s="532"/>
      <c r="R6" s="532"/>
      <c r="S6" s="532"/>
      <c r="T6" s="532"/>
      <c r="U6" s="533"/>
    </row>
    <row r="7" spans="1:21" x14ac:dyDescent="0.3">
      <c r="A7" s="297" t="s">
        <v>80</v>
      </c>
      <c r="B7" s="510" t="s">
        <v>187</v>
      </c>
      <c r="C7" s="511"/>
      <c r="D7" s="362" t="s">
        <v>82</v>
      </c>
      <c r="E7" s="292">
        <v>2925.047</v>
      </c>
      <c r="F7" s="366" t="s">
        <v>195</v>
      </c>
      <c r="G7" s="347"/>
      <c r="H7" s="365">
        <v>61.836031544521276</v>
      </c>
      <c r="I7" s="373" t="s">
        <v>70</v>
      </c>
      <c r="J7" s="372"/>
      <c r="K7" s="371" t="s">
        <v>80</v>
      </c>
      <c r="L7" s="540" t="s">
        <v>187</v>
      </c>
      <c r="M7" s="541"/>
      <c r="N7" s="354"/>
      <c r="O7" s="353"/>
      <c r="P7" s="534"/>
      <c r="Q7" s="535"/>
      <c r="R7" s="535"/>
      <c r="S7" s="535"/>
      <c r="T7" s="535"/>
      <c r="U7" s="536"/>
    </row>
    <row r="8" spans="1:21" ht="15.6" x14ac:dyDescent="0.3">
      <c r="A8" s="297" t="s">
        <v>83</v>
      </c>
      <c r="B8" s="508" t="s">
        <v>196</v>
      </c>
      <c r="C8" s="509"/>
      <c r="D8" s="362" t="s">
        <v>84</v>
      </c>
      <c r="E8" s="292">
        <v>5733.0921200000003</v>
      </c>
      <c r="F8" s="366"/>
      <c r="G8" s="347"/>
      <c r="H8" s="305" t="s">
        <v>85</v>
      </c>
      <c r="I8" s="370" t="s">
        <v>70</v>
      </c>
      <c r="J8" s="305" t="s">
        <v>86</v>
      </c>
      <c r="K8" s="369"/>
      <c r="L8" s="368"/>
      <c r="M8" s="368"/>
      <c r="N8" s="368"/>
      <c r="O8" s="368"/>
      <c r="P8" s="368"/>
      <c r="Q8" s="368"/>
      <c r="R8" s="368"/>
      <c r="S8" s="368"/>
      <c r="T8" s="368"/>
      <c r="U8" s="367"/>
    </row>
    <row r="9" spans="1:21" ht="15.6" x14ac:dyDescent="0.3">
      <c r="A9" s="297" t="s">
        <v>87</v>
      </c>
      <c r="B9" s="508" t="s">
        <v>88</v>
      </c>
      <c r="C9" s="509"/>
      <c r="D9" s="362" t="s">
        <v>89</v>
      </c>
      <c r="E9" s="296">
        <v>125116.01330530264</v>
      </c>
      <c r="F9" s="366" t="s">
        <v>90</v>
      </c>
      <c r="G9" s="347"/>
      <c r="H9" s="365">
        <v>59.92</v>
      </c>
      <c r="I9" s="364">
        <v>37644</v>
      </c>
      <c r="J9" s="363">
        <v>108097</v>
      </c>
      <c r="K9" s="505" t="s">
        <v>91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</row>
    <row r="10" spans="1:21" x14ac:dyDescent="0.3">
      <c r="A10" s="297" t="s">
        <v>92</v>
      </c>
      <c r="B10" s="510" t="s">
        <v>93</v>
      </c>
      <c r="C10" s="511"/>
      <c r="D10" s="362" t="s">
        <v>94</v>
      </c>
      <c r="E10" s="292">
        <v>74539.482453625795</v>
      </c>
      <c r="F10" s="361" t="s">
        <v>95</v>
      </c>
      <c r="G10" s="360"/>
      <c r="H10" s="359">
        <v>61.4</v>
      </c>
      <c r="I10" s="358">
        <v>42054</v>
      </c>
      <c r="J10" s="357">
        <v>92866</v>
      </c>
      <c r="K10" s="321"/>
      <c r="L10" s="319" t="s">
        <v>96</v>
      </c>
      <c r="M10" s="320"/>
      <c r="N10" s="319" t="s">
        <v>97</v>
      </c>
      <c r="O10" s="320"/>
      <c r="P10" s="319" t="s">
        <v>98</v>
      </c>
      <c r="Q10" s="320"/>
      <c r="R10" s="319" t="s">
        <v>99</v>
      </c>
      <c r="S10" s="320"/>
      <c r="T10" s="319" t="s">
        <v>100</v>
      </c>
      <c r="U10" s="318"/>
    </row>
    <row r="11" spans="1:21" x14ac:dyDescent="0.3">
      <c r="A11" s="512" t="s">
        <v>235</v>
      </c>
      <c r="B11" s="513"/>
      <c r="C11" s="514"/>
      <c r="D11" s="356" t="s">
        <v>101</v>
      </c>
      <c r="E11" s="355">
        <v>199655.49575892842</v>
      </c>
      <c r="F11" s="354" t="s">
        <v>102</v>
      </c>
      <c r="G11" s="353"/>
      <c r="H11" s="315" t="s">
        <v>103</v>
      </c>
      <c r="I11" s="305" t="s">
        <v>104</v>
      </c>
      <c r="J11" s="305" t="s">
        <v>105</v>
      </c>
      <c r="K11" s="316" t="s">
        <v>106</v>
      </c>
      <c r="L11" s="315" t="s">
        <v>107</v>
      </c>
      <c r="M11" s="315" t="s">
        <v>48</v>
      </c>
      <c r="N11" s="315" t="s">
        <v>107</v>
      </c>
      <c r="O11" s="315" t="s">
        <v>48</v>
      </c>
      <c r="P11" s="315" t="s">
        <v>107</v>
      </c>
      <c r="Q11" s="315" t="s">
        <v>48</v>
      </c>
      <c r="R11" s="315" t="s">
        <v>107</v>
      </c>
      <c r="S11" s="315" t="s">
        <v>48</v>
      </c>
      <c r="T11" s="315" t="s">
        <v>107</v>
      </c>
      <c r="U11" s="315" t="s">
        <v>48</v>
      </c>
    </row>
    <row r="12" spans="1:21" x14ac:dyDescent="0.3">
      <c r="A12" s="515"/>
      <c r="B12" s="516"/>
      <c r="C12" s="517"/>
      <c r="D12" s="352" t="s">
        <v>108</v>
      </c>
      <c r="E12" s="351"/>
      <c r="F12" s="350" t="s">
        <v>109</v>
      </c>
      <c r="G12" s="350"/>
      <c r="H12" s="349">
        <v>7614226.2754185796</v>
      </c>
      <c r="I12" s="349">
        <v>103359.08662441769</v>
      </c>
      <c r="J12" s="349">
        <v>7717585.362042997</v>
      </c>
      <c r="K12" s="297" t="s">
        <v>62</v>
      </c>
      <c r="L12" s="312">
        <v>1007.0000000000007</v>
      </c>
      <c r="M12" s="300">
        <v>1603393.2368032739</v>
      </c>
      <c r="N12" s="312">
        <v>1107.7000000000003</v>
      </c>
      <c r="O12" s="300">
        <v>1741913.6169945346</v>
      </c>
      <c r="P12" s="312">
        <v>1208.3999999999999</v>
      </c>
      <c r="Q12" s="300">
        <v>1880433.9971857951</v>
      </c>
      <c r="R12" s="312">
        <v>906.30000000000007</v>
      </c>
      <c r="S12" s="300">
        <v>1464872.8566120127</v>
      </c>
      <c r="T12" s="312">
        <v>805.59999999999945</v>
      </c>
      <c r="U12" s="300">
        <v>1326352.4764207522</v>
      </c>
    </row>
    <row r="13" spans="1:21" x14ac:dyDescent="0.3">
      <c r="A13" s="515"/>
      <c r="B13" s="516"/>
      <c r="C13" s="517"/>
      <c r="D13" s="348" t="s">
        <v>110</v>
      </c>
      <c r="E13" s="300">
        <v>199277</v>
      </c>
      <c r="F13" s="347" t="s">
        <v>111</v>
      </c>
      <c r="G13" s="297"/>
      <c r="H13" s="346">
        <v>5785224.7194870263</v>
      </c>
      <c r="I13" s="346">
        <v>47088.852143300042</v>
      </c>
      <c r="J13" s="346">
        <v>5832313.5716303261</v>
      </c>
      <c r="K13" s="297" t="s">
        <v>63</v>
      </c>
      <c r="L13" s="296">
        <v>795.00000000000011</v>
      </c>
      <c r="M13" s="292">
        <v>1257741.2762100177</v>
      </c>
      <c r="N13" s="296">
        <v>874.50000000000023</v>
      </c>
      <c r="O13" s="292">
        <v>1367540.2696788756</v>
      </c>
      <c r="P13" s="296">
        <v>954.00000000000011</v>
      </c>
      <c r="Q13" s="292">
        <v>1477339.2631477329</v>
      </c>
      <c r="R13" s="296">
        <v>715.5</v>
      </c>
      <c r="S13" s="292">
        <v>1147942.2827411604</v>
      </c>
      <c r="T13" s="296">
        <v>636</v>
      </c>
      <c r="U13" s="292">
        <v>1038143.2892723028</v>
      </c>
    </row>
    <row r="14" spans="1:21" x14ac:dyDescent="0.3">
      <c r="A14" s="515"/>
      <c r="B14" s="516"/>
      <c r="C14" s="517"/>
      <c r="D14" s="345" t="s">
        <v>112</v>
      </c>
      <c r="E14" s="292">
        <v>-378</v>
      </c>
      <c r="F14" s="521" t="s">
        <v>241</v>
      </c>
      <c r="G14" s="513"/>
      <c r="H14" s="513"/>
      <c r="I14" s="513"/>
      <c r="J14" s="514"/>
      <c r="K14" s="297" t="s">
        <v>64</v>
      </c>
      <c r="L14" s="296">
        <v>591.99999999999977</v>
      </c>
      <c r="M14" s="292">
        <v>876204.61572043016</v>
      </c>
      <c r="N14" s="296">
        <v>651.20000000000005</v>
      </c>
      <c r="O14" s="292">
        <v>958236.32426580845</v>
      </c>
      <c r="P14" s="296">
        <v>710.39999999999986</v>
      </c>
      <c r="Q14" s="292">
        <v>1040268.0328111863</v>
      </c>
      <c r="R14" s="296">
        <v>532.80000000000018</v>
      </c>
      <c r="S14" s="292">
        <v>794172.90717505198</v>
      </c>
      <c r="T14" s="296">
        <v>473.60000000000019</v>
      </c>
      <c r="U14" s="292">
        <v>712141.19862967392</v>
      </c>
    </row>
    <row r="15" spans="1:21" x14ac:dyDescent="0.3">
      <c r="A15" s="515"/>
      <c r="B15" s="516"/>
      <c r="C15" s="517"/>
      <c r="D15" s="345" t="s">
        <v>113</v>
      </c>
      <c r="E15" s="344">
        <v>-1.8932611825341961E-3</v>
      </c>
      <c r="F15" s="515"/>
      <c r="G15" s="516"/>
      <c r="H15" s="516"/>
      <c r="I15" s="516"/>
      <c r="J15" s="517"/>
      <c r="K15" s="297" t="s">
        <v>34</v>
      </c>
      <c r="L15" s="296">
        <v>288.99999999999989</v>
      </c>
      <c r="M15" s="292">
        <v>471350.75082991319</v>
      </c>
      <c r="N15" s="296">
        <v>317.89999999999992</v>
      </c>
      <c r="O15" s="292">
        <v>515655.15914493136</v>
      </c>
      <c r="P15" s="296">
        <v>346.80000000000007</v>
      </c>
      <c r="Q15" s="292">
        <v>559959.56745994964</v>
      </c>
      <c r="R15" s="296">
        <v>260.10000000000002</v>
      </c>
      <c r="S15" s="292">
        <v>427046.34251489467</v>
      </c>
      <c r="T15" s="296">
        <v>231.19999999999987</v>
      </c>
      <c r="U15" s="292">
        <v>382741.93419987627</v>
      </c>
    </row>
    <row r="16" spans="1:21" x14ac:dyDescent="0.3">
      <c r="A16" s="518"/>
      <c r="B16" s="519"/>
      <c r="C16" s="520"/>
      <c r="D16" s="343"/>
      <c r="E16" s="342"/>
      <c r="F16" s="518"/>
      <c r="G16" s="519"/>
      <c r="H16" s="519"/>
      <c r="I16" s="519"/>
      <c r="J16" s="520"/>
      <c r="K16" s="297" t="s">
        <v>35</v>
      </c>
      <c r="L16" s="296">
        <v>86</v>
      </c>
      <c r="M16" s="292">
        <v>230253.52112600912</v>
      </c>
      <c r="N16" s="296">
        <v>94.599999999999966</v>
      </c>
      <c r="O16" s="292">
        <v>243688.72030479729</v>
      </c>
      <c r="P16" s="296">
        <v>103.20000000000003</v>
      </c>
      <c r="Q16" s="292">
        <v>257123.91948358531</v>
      </c>
      <c r="R16" s="296">
        <v>77.400000000000048</v>
      </c>
      <c r="S16" s="292">
        <v>216818.32194722103</v>
      </c>
      <c r="T16" s="296">
        <v>68.799999999999983</v>
      </c>
      <c r="U16" s="292">
        <v>203383.12276843295</v>
      </c>
    </row>
    <row r="17" spans="1:21" x14ac:dyDescent="0.3">
      <c r="A17" s="341"/>
      <c r="B17" s="338"/>
      <c r="C17" s="338"/>
      <c r="D17" s="338"/>
      <c r="E17" s="340"/>
      <c r="F17" s="339"/>
      <c r="G17" s="338"/>
      <c r="H17" s="338"/>
      <c r="I17" s="338"/>
      <c r="J17" s="337"/>
      <c r="K17" s="297" t="s">
        <v>36</v>
      </c>
      <c r="L17" s="296">
        <v>6.0000000000000027</v>
      </c>
      <c r="M17" s="292">
        <v>161519.62279098958</v>
      </c>
      <c r="N17" s="296">
        <v>6.6000000000000192</v>
      </c>
      <c r="O17" s="292">
        <v>162514.45228061845</v>
      </c>
      <c r="P17" s="296">
        <v>7.2000000000000126</v>
      </c>
      <c r="Q17" s="292">
        <v>163509.28177024724</v>
      </c>
      <c r="R17" s="296">
        <v>5.4000000000000092</v>
      </c>
      <c r="S17" s="292">
        <v>160524.79330136074</v>
      </c>
      <c r="T17" s="296">
        <v>4.8000000000000096</v>
      </c>
      <c r="U17" s="292">
        <v>159529.96381173184</v>
      </c>
    </row>
    <row r="18" spans="1:21" ht="15.6" x14ac:dyDescent="0.3">
      <c r="A18" s="502" t="s">
        <v>114</v>
      </c>
      <c r="B18" s="503"/>
      <c r="C18" s="503"/>
      <c r="D18" s="503"/>
      <c r="E18" s="503"/>
      <c r="F18" s="503"/>
      <c r="G18" s="503"/>
      <c r="H18" s="503"/>
      <c r="I18" s="503"/>
      <c r="J18" s="504"/>
      <c r="K18" s="297" t="s">
        <v>37</v>
      </c>
      <c r="L18" s="296">
        <v>0</v>
      </c>
      <c r="M18" s="292">
        <v>156893.43149541365</v>
      </c>
      <c r="N18" s="296">
        <v>0</v>
      </c>
      <c r="O18" s="292">
        <v>156901.93570064454</v>
      </c>
      <c r="P18" s="296">
        <v>0</v>
      </c>
      <c r="Q18" s="292">
        <v>156910.43990587548</v>
      </c>
      <c r="R18" s="296">
        <v>0</v>
      </c>
      <c r="S18" s="292">
        <v>156884.92729018271</v>
      </c>
      <c r="T18" s="296">
        <v>0</v>
      </c>
      <c r="U18" s="292">
        <v>156876.42308495179</v>
      </c>
    </row>
    <row r="19" spans="1:21" x14ac:dyDescent="0.3">
      <c r="A19" s="305" t="s">
        <v>67</v>
      </c>
      <c r="B19" s="496" t="s">
        <v>115</v>
      </c>
      <c r="C19" s="497"/>
      <c r="D19" s="498"/>
      <c r="E19" s="305" t="s">
        <v>116</v>
      </c>
      <c r="F19" s="496" t="s">
        <v>117</v>
      </c>
      <c r="G19" s="499"/>
      <c r="H19" s="500"/>
      <c r="I19" s="500"/>
      <c r="J19" s="501"/>
      <c r="K19" s="297" t="s">
        <v>38</v>
      </c>
      <c r="L19" s="296">
        <v>0.99999999999999922</v>
      </c>
      <c r="M19" s="292">
        <v>164429.80365147351</v>
      </c>
      <c r="N19" s="296">
        <v>1.1000000000000001</v>
      </c>
      <c r="O19" s="292">
        <v>164578.01312096644</v>
      </c>
      <c r="P19" s="296">
        <v>1.1999999999999988</v>
      </c>
      <c r="Q19" s="292">
        <v>164726.22259045942</v>
      </c>
      <c r="R19" s="296">
        <v>0.8999999999999998</v>
      </c>
      <c r="S19" s="292">
        <v>164281.59418198053</v>
      </c>
      <c r="T19" s="296">
        <v>0.79999999999999949</v>
      </c>
      <c r="U19" s="292">
        <v>164133.3847124876</v>
      </c>
    </row>
    <row r="20" spans="1:21" x14ac:dyDescent="0.3">
      <c r="A20" s="336" t="s">
        <v>119</v>
      </c>
      <c r="B20" s="335" t="s">
        <v>168</v>
      </c>
      <c r="C20" s="299"/>
      <c r="D20" s="334"/>
      <c r="E20" s="292">
        <v>16500</v>
      </c>
      <c r="F20" s="286" t="s">
        <v>166</v>
      </c>
      <c r="G20" s="286"/>
      <c r="H20" s="286"/>
      <c r="I20" s="286"/>
      <c r="J20" s="285"/>
      <c r="K20" s="297" t="s">
        <v>39</v>
      </c>
      <c r="L20" s="296">
        <v>46</v>
      </c>
      <c r="M20" s="292">
        <v>244572.12917204096</v>
      </c>
      <c r="N20" s="296">
        <v>50.599999999999994</v>
      </c>
      <c r="O20" s="292">
        <v>251166.30467351526</v>
      </c>
      <c r="P20" s="296">
        <v>55.199999999999989</v>
      </c>
      <c r="Q20" s="292">
        <v>257760.48017498967</v>
      </c>
      <c r="R20" s="296">
        <v>41.400000000000006</v>
      </c>
      <c r="S20" s="292">
        <v>237977.95367056661</v>
      </c>
      <c r="T20" s="296">
        <v>36.799999999999997</v>
      </c>
      <c r="U20" s="292">
        <v>231383.77816909231</v>
      </c>
    </row>
    <row r="21" spans="1:21" x14ac:dyDescent="0.3">
      <c r="A21" s="333" t="s">
        <v>119</v>
      </c>
      <c r="B21" s="332" t="s">
        <v>169</v>
      </c>
      <c r="C21" s="286"/>
      <c r="D21" s="331"/>
      <c r="E21" s="292">
        <v>82000</v>
      </c>
      <c r="F21" s="286" t="s">
        <v>170</v>
      </c>
      <c r="G21" s="286"/>
      <c r="H21" s="286"/>
      <c r="I21" s="286"/>
      <c r="J21" s="285"/>
      <c r="K21" s="297" t="s">
        <v>40</v>
      </c>
      <c r="L21" s="296">
        <v>256</v>
      </c>
      <c r="M21" s="292">
        <v>399982.29686571209</v>
      </c>
      <c r="N21" s="296">
        <v>281.60000000000002</v>
      </c>
      <c r="O21" s="292">
        <v>437960.01015786675</v>
      </c>
      <c r="P21" s="296">
        <v>307.20000000000005</v>
      </c>
      <c r="Q21" s="292">
        <v>475937.72345002129</v>
      </c>
      <c r="R21" s="296">
        <v>230.39999999999998</v>
      </c>
      <c r="S21" s="292">
        <v>362004.58357355761</v>
      </c>
      <c r="T21" s="296">
        <v>204.8</v>
      </c>
      <c r="U21" s="292">
        <v>324026.87028140289</v>
      </c>
    </row>
    <row r="22" spans="1:21" x14ac:dyDescent="0.3">
      <c r="A22" s="333" t="s">
        <v>131</v>
      </c>
      <c r="B22" s="332" t="s">
        <v>132</v>
      </c>
      <c r="C22" s="286"/>
      <c r="D22" s="331"/>
      <c r="E22" s="292">
        <v>78749</v>
      </c>
      <c r="F22" s="286" t="s">
        <v>133</v>
      </c>
      <c r="G22" s="286"/>
      <c r="H22" s="286"/>
      <c r="I22" s="286"/>
      <c r="J22" s="285"/>
      <c r="K22" s="297" t="s">
        <v>65</v>
      </c>
      <c r="L22" s="296">
        <v>558</v>
      </c>
      <c r="M22" s="292">
        <v>751714.58911007119</v>
      </c>
      <c r="N22" s="296">
        <v>613.80000000000007</v>
      </c>
      <c r="O22" s="292">
        <v>827856.43863893533</v>
      </c>
      <c r="P22" s="296">
        <v>669.60000000000014</v>
      </c>
      <c r="Q22" s="292">
        <v>903998.28816779912</v>
      </c>
      <c r="R22" s="296">
        <v>502.20000000000005</v>
      </c>
      <c r="S22" s="292">
        <v>675572.73958120763</v>
      </c>
      <c r="T22" s="296">
        <v>446.40000000000015</v>
      </c>
      <c r="U22" s="292">
        <v>599430.8900523436</v>
      </c>
    </row>
    <row r="23" spans="1:21" x14ac:dyDescent="0.3">
      <c r="A23" s="291"/>
      <c r="B23" s="295"/>
      <c r="C23" s="294"/>
      <c r="D23" s="317"/>
      <c r="E23" s="292"/>
      <c r="F23" s="286" t="s">
        <v>134</v>
      </c>
      <c r="G23" s="286"/>
      <c r="H23" s="286"/>
      <c r="I23" s="286"/>
      <c r="J23" s="285"/>
      <c r="K23" s="297" t="s">
        <v>66</v>
      </c>
      <c r="L23" s="296">
        <v>911.00000000000068</v>
      </c>
      <c r="M23" s="292">
        <v>1296171.0016432337</v>
      </c>
      <c r="N23" s="296">
        <v>1002.1000000000003</v>
      </c>
      <c r="O23" s="292">
        <v>1421030.8588775208</v>
      </c>
      <c r="P23" s="296">
        <v>1093.1999999999998</v>
      </c>
      <c r="Q23" s="292">
        <v>1545890.7161118076</v>
      </c>
      <c r="R23" s="296">
        <v>819.89999999999941</v>
      </c>
      <c r="S23" s="292">
        <v>1171311.1444089466</v>
      </c>
      <c r="T23" s="296">
        <v>728.79999999999984</v>
      </c>
      <c r="U23" s="292">
        <v>1046451.2871746599</v>
      </c>
    </row>
    <row r="24" spans="1:21" x14ac:dyDescent="0.3">
      <c r="A24" s="291"/>
      <c r="B24" s="295"/>
      <c r="C24" s="294"/>
      <c r="D24" s="317"/>
      <c r="E24" s="292"/>
      <c r="F24" s="286" t="s">
        <v>135</v>
      </c>
      <c r="G24" s="286"/>
      <c r="H24" s="286"/>
      <c r="I24" s="286"/>
      <c r="J24" s="285"/>
      <c r="K24" s="279" t="s">
        <v>121</v>
      </c>
      <c r="L24" s="278">
        <v>4547.0000000000018</v>
      </c>
      <c r="M24" s="278">
        <v>7614226.2754185796</v>
      </c>
      <c r="N24" s="278">
        <v>5001.7000000000007</v>
      </c>
      <c r="O24" s="278">
        <v>8249042.1038390137</v>
      </c>
      <c r="P24" s="278">
        <v>5456.4</v>
      </c>
      <c r="Q24" s="278">
        <v>8883857.9322594479</v>
      </c>
      <c r="R24" s="278">
        <v>4092.3</v>
      </c>
      <c r="S24" s="278">
        <v>6979410.4469981445</v>
      </c>
      <c r="T24" s="278">
        <v>3637.6000000000004</v>
      </c>
      <c r="U24" s="278">
        <v>6344594.6185777085</v>
      </c>
    </row>
    <row r="25" spans="1:21" x14ac:dyDescent="0.3">
      <c r="A25" s="291" t="s">
        <v>119</v>
      </c>
      <c r="B25" s="295" t="s">
        <v>171</v>
      </c>
      <c r="C25" s="294"/>
      <c r="D25" s="317"/>
      <c r="E25" s="292">
        <v>10000</v>
      </c>
      <c r="F25" s="286" t="s">
        <v>166</v>
      </c>
      <c r="G25" s="286"/>
      <c r="H25" s="286"/>
      <c r="I25" s="286"/>
      <c r="J25" s="285"/>
      <c r="K25" s="279" t="s">
        <v>122</v>
      </c>
      <c r="L25" s="278">
        <v>3863.0000000000018</v>
      </c>
      <c r="M25" s="278">
        <v>5785224.7194870263</v>
      </c>
      <c r="N25" s="278">
        <v>4249.3000000000011</v>
      </c>
      <c r="O25" s="278">
        <v>6316577.5084556751</v>
      </c>
      <c r="P25" s="278">
        <v>4635.6000000000004</v>
      </c>
      <c r="Q25" s="278">
        <v>6847930.2974243201</v>
      </c>
      <c r="R25" s="278">
        <v>3476.7</v>
      </c>
      <c r="S25" s="278">
        <v>5253871.9305183794</v>
      </c>
      <c r="T25" s="278">
        <v>3090.3999999999996</v>
      </c>
      <c r="U25" s="278">
        <v>4722519.1415497325</v>
      </c>
    </row>
    <row r="26" spans="1:21" x14ac:dyDescent="0.3">
      <c r="A26" s="330" t="s">
        <v>119</v>
      </c>
      <c r="B26" s="329" t="s">
        <v>208</v>
      </c>
      <c r="C26" s="326"/>
      <c r="D26" s="328"/>
      <c r="E26" s="327">
        <v>1028</v>
      </c>
      <c r="F26" s="326" t="s">
        <v>242</v>
      </c>
      <c r="G26" s="326"/>
      <c r="H26" s="326"/>
      <c r="I26" s="326"/>
      <c r="J26" s="325"/>
      <c r="K26" s="324"/>
      <c r="L26" s="323"/>
      <c r="M26" s="323"/>
      <c r="N26" s="323"/>
      <c r="O26" s="323"/>
      <c r="P26" s="323"/>
      <c r="Q26" s="323"/>
      <c r="R26" s="323"/>
      <c r="S26" s="323"/>
      <c r="T26" s="323"/>
      <c r="U26" s="322"/>
    </row>
    <row r="27" spans="1:21" ht="15.6" x14ac:dyDescent="0.3">
      <c r="A27" s="291" t="s">
        <v>136</v>
      </c>
      <c r="B27" s="295" t="s">
        <v>142</v>
      </c>
      <c r="C27" s="294"/>
      <c r="D27" s="317"/>
      <c r="E27" s="292">
        <v>6000</v>
      </c>
      <c r="F27" s="286" t="s">
        <v>172</v>
      </c>
      <c r="G27" s="286"/>
      <c r="H27" s="286"/>
      <c r="I27" s="286"/>
      <c r="J27" s="285"/>
      <c r="K27" s="505" t="s">
        <v>123</v>
      </c>
      <c r="L27" s="506"/>
      <c r="M27" s="506"/>
      <c r="N27" s="506"/>
      <c r="O27" s="506"/>
      <c r="P27" s="506"/>
      <c r="Q27" s="506"/>
      <c r="R27" s="506"/>
      <c r="S27" s="506"/>
      <c r="T27" s="506"/>
      <c r="U27" s="507"/>
    </row>
    <row r="28" spans="1:21" x14ac:dyDescent="0.3">
      <c r="A28" s="291" t="s">
        <v>119</v>
      </c>
      <c r="B28" s="295" t="s">
        <v>243</v>
      </c>
      <c r="C28" s="294"/>
      <c r="D28" s="317"/>
      <c r="E28" s="292">
        <v>5000</v>
      </c>
      <c r="F28" s="286" t="s">
        <v>244</v>
      </c>
      <c r="G28" s="286"/>
      <c r="H28" s="286"/>
      <c r="I28" s="286"/>
      <c r="J28" s="285"/>
      <c r="K28" s="321"/>
      <c r="L28" s="319" t="s">
        <v>96</v>
      </c>
      <c r="M28" s="320"/>
      <c r="N28" s="319" t="s">
        <v>97</v>
      </c>
      <c r="O28" s="320"/>
      <c r="P28" s="319" t="s">
        <v>98</v>
      </c>
      <c r="Q28" s="320"/>
      <c r="R28" s="319" t="s">
        <v>99</v>
      </c>
      <c r="S28" s="320"/>
      <c r="T28" s="319" t="s">
        <v>100</v>
      </c>
      <c r="U28" s="318"/>
    </row>
    <row r="29" spans="1:21" x14ac:dyDescent="0.3">
      <c r="A29" s="291"/>
      <c r="B29" s="295"/>
      <c r="C29" s="294"/>
      <c r="D29" s="317"/>
      <c r="E29" s="292"/>
      <c r="F29" s="286"/>
      <c r="G29" s="286"/>
      <c r="H29" s="286"/>
      <c r="I29" s="286"/>
      <c r="J29" s="285"/>
      <c r="K29" s="316" t="s">
        <v>106</v>
      </c>
      <c r="L29" s="315" t="s">
        <v>107</v>
      </c>
      <c r="M29" s="315" t="s">
        <v>48</v>
      </c>
      <c r="N29" s="315" t="s">
        <v>107</v>
      </c>
      <c r="O29" s="315" t="s">
        <v>48</v>
      </c>
      <c r="P29" s="315" t="s">
        <v>107</v>
      </c>
      <c r="Q29" s="315" t="s">
        <v>48</v>
      </c>
      <c r="R29" s="315" t="s">
        <v>107</v>
      </c>
      <c r="S29" s="315" t="s">
        <v>48</v>
      </c>
      <c r="T29" s="315" t="s">
        <v>107</v>
      </c>
      <c r="U29" s="315" t="s">
        <v>48</v>
      </c>
    </row>
    <row r="30" spans="1:21" x14ac:dyDescent="0.3">
      <c r="A30" s="314"/>
      <c r="B30" s="290"/>
      <c r="C30" s="289"/>
      <c r="D30" s="313"/>
      <c r="E30" s="287"/>
      <c r="F30" s="286"/>
      <c r="G30" s="286"/>
      <c r="H30" s="286"/>
      <c r="I30" s="286"/>
      <c r="J30" s="285"/>
      <c r="K30" s="297" t="s">
        <v>62</v>
      </c>
      <c r="L30" s="312">
        <v>1007.0000000000007</v>
      </c>
      <c r="M30" s="300">
        <v>12138.118867181332</v>
      </c>
      <c r="N30" s="312">
        <v>1107.7000000000003</v>
      </c>
      <c r="O30" s="300">
        <v>14101.664513601492</v>
      </c>
      <c r="P30" s="312">
        <v>1208.3999999999999</v>
      </c>
      <c r="Q30" s="300">
        <v>16065.210160021641</v>
      </c>
      <c r="R30" s="312">
        <v>906.30000000000007</v>
      </c>
      <c r="S30" s="300">
        <v>10174.573220761169</v>
      </c>
      <c r="T30" s="312">
        <v>805.59999999999945</v>
      </c>
      <c r="U30" s="300">
        <v>8211.0275743410057</v>
      </c>
    </row>
    <row r="31" spans="1:21" x14ac:dyDescent="0.3">
      <c r="A31" s="284"/>
      <c r="B31" s="283"/>
      <c r="C31" s="283"/>
      <c r="D31" s="283" t="s">
        <v>124</v>
      </c>
      <c r="E31" s="282">
        <v>199277</v>
      </c>
      <c r="F31" s="281"/>
      <c r="G31" s="281"/>
      <c r="H31" s="281"/>
      <c r="I31" s="281"/>
      <c r="J31" s="280"/>
      <c r="K31" s="297" t="s">
        <v>63</v>
      </c>
      <c r="L31" s="296">
        <v>795.00000000000011</v>
      </c>
      <c r="M31" s="292">
        <v>7153.3907738298267</v>
      </c>
      <c r="N31" s="296">
        <v>874.50000000000023</v>
      </c>
      <c r="O31" s="292">
        <v>8772.4690294733591</v>
      </c>
      <c r="P31" s="296">
        <v>954.00000000000011</v>
      </c>
      <c r="Q31" s="292">
        <v>10391.547285116887</v>
      </c>
      <c r="R31" s="296">
        <v>715.5</v>
      </c>
      <c r="S31" s="292">
        <v>5534.3125181862906</v>
      </c>
      <c r="T31" s="296">
        <v>636</v>
      </c>
      <c r="U31" s="292">
        <v>3915.2342625427618</v>
      </c>
    </row>
    <row r="32" spans="1:21" x14ac:dyDescent="0.3">
      <c r="A32" s="311"/>
      <c r="B32" s="310"/>
      <c r="C32" s="310"/>
      <c r="D32" s="309"/>
      <c r="E32" s="308"/>
      <c r="F32" s="307"/>
      <c r="G32" s="307"/>
      <c r="H32" s="307"/>
      <c r="I32" s="307"/>
      <c r="J32" s="306"/>
      <c r="K32" s="297" t="s">
        <v>64</v>
      </c>
      <c r="L32" s="296">
        <v>591.99999999999977</v>
      </c>
      <c r="M32" s="292">
        <v>8657.6036545768638</v>
      </c>
      <c r="N32" s="296">
        <v>651.20000000000005</v>
      </c>
      <c r="O32" s="292">
        <v>9926.0618810344949</v>
      </c>
      <c r="P32" s="296">
        <v>710.39999999999986</v>
      </c>
      <c r="Q32" s="292">
        <v>11194.520107492117</v>
      </c>
      <c r="R32" s="296">
        <v>532.80000000000018</v>
      </c>
      <c r="S32" s="292">
        <v>7389.1454281192337</v>
      </c>
      <c r="T32" s="296">
        <v>473.60000000000019</v>
      </c>
      <c r="U32" s="292">
        <v>6120.6872016616035</v>
      </c>
    </row>
    <row r="33" spans="1:21" ht="15.6" x14ac:dyDescent="0.3">
      <c r="A33" s="502" t="s">
        <v>125</v>
      </c>
      <c r="B33" s="503"/>
      <c r="C33" s="503"/>
      <c r="D33" s="503"/>
      <c r="E33" s="503"/>
      <c r="F33" s="503"/>
      <c r="G33" s="503"/>
      <c r="H33" s="503"/>
      <c r="I33" s="503"/>
      <c r="J33" s="504"/>
      <c r="K33" s="297" t="s">
        <v>34</v>
      </c>
      <c r="L33" s="296">
        <v>288.99999999999989</v>
      </c>
      <c r="M33" s="292">
        <v>7306.375232104132</v>
      </c>
      <c r="N33" s="296">
        <v>317.89999999999992</v>
      </c>
      <c r="O33" s="292">
        <v>7905.6513440141962</v>
      </c>
      <c r="P33" s="296">
        <v>346.80000000000007</v>
      </c>
      <c r="Q33" s="292">
        <v>8504.9274559242604</v>
      </c>
      <c r="R33" s="296">
        <v>260.10000000000002</v>
      </c>
      <c r="S33" s="292">
        <v>6707.0991201940624</v>
      </c>
      <c r="T33" s="296">
        <v>231.19999999999987</v>
      </c>
      <c r="U33" s="292">
        <v>6107.8230082839991</v>
      </c>
    </row>
    <row r="34" spans="1:21" x14ac:dyDescent="0.3">
      <c r="A34" s="305" t="s">
        <v>67</v>
      </c>
      <c r="B34" s="496" t="s">
        <v>115</v>
      </c>
      <c r="C34" s="497"/>
      <c r="D34" s="498"/>
      <c r="E34" s="305" t="s">
        <v>116</v>
      </c>
      <c r="F34" s="496" t="s">
        <v>117</v>
      </c>
      <c r="G34" s="499"/>
      <c r="H34" s="500"/>
      <c r="I34" s="500"/>
      <c r="J34" s="501"/>
      <c r="K34" s="297" t="s">
        <v>35</v>
      </c>
      <c r="L34" s="296">
        <v>86</v>
      </c>
      <c r="M34" s="292">
        <v>10401.805428092137</v>
      </c>
      <c r="N34" s="296">
        <v>94.599999999999966</v>
      </c>
      <c r="O34" s="292">
        <v>10592.982300639063</v>
      </c>
      <c r="P34" s="296">
        <v>103.20000000000003</v>
      </c>
      <c r="Q34" s="292">
        <v>10784.159173185983</v>
      </c>
      <c r="R34" s="296">
        <v>77.400000000000048</v>
      </c>
      <c r="S34" s="292">
        <v>10210.628555545209</v>
      </c>
      <c r="T34" s="296">
        <v>68.799999999999983</v>
      </c>
      <c r="U34" s="292">
        <v>10019.451682998288</v>
      </c>
    </row>
    <row r="35" spans="1:21" x14ac:dyDescent="0.3">
      <c r="A35" s="304"/>
      <c r="B35" s="303"/>
      <c r="C35" s="302"/>
      <c r="D35" s="301"/>
      <c r="E35" s="300"/>
      <c r="F35" s="299"/>
      <c r="G35" s="299"/>
      <c r="H35" s="299"/>
      <c r="I35" s="299"/>
      <c r="J35" s="298"/>
      <c r="K35" s="297" t="s">
        <v>36</v>
      </c>
      <c r="L35" s="296">
        <v>6.0000000000000027</v>
      </c>
      <c r="M35" s="292">
        <v>9907.6145152202153</v>
      </c>
      <c r="N35" s="296">
        <v>6.6000000000000192</v>
      </c>
      <c r="O35" s="292">
        <v>9931.6010052942001</v>
      </c>
      <c r="P35" s="296">
        <v>7.2000000000000126</v>
      </c>
      <c r="Q35" s="292">
        <v>9955.5874953681869</v>
      </c>
      <c r="R35" s="296">
        <v>5.4000000000000092</v>
      </c>
      <c r="S35" s="292">
        <v>9883.6280251462413</v>
      </c>
      <c r="T35" s="296">
        <v>4.8000000000000096</v>
      </c>
      <c r="U35" s="292">
        <v>9859.6415350722582</v>
      </c>
    </row>
    <row r="36" spans="1:21" x14ac:dyDescent="0.3">
      <c r="A36" s="291"/>
      <c r="B36" s="295"/>
      <c r="C36" s="294"/>
      <c r="D36" s="293"/>
      <c r="E36" s="292"/>
      <c r="F36" s="286"/>
      <c r="G36" s="286"/>
      <c r="H36" s="286"/>
      <c r="I36" s="286"/>
      <c r="J36" s="285"/>
      <c r="K36" s="297" t="s">
        <v>37</v>
      </c>
      <c r="L36" s="296">
        <v>0</v>
      </c>
      <c r="M36" s="292">
        <v>5779.6397952777888</v>
      </c>
      <c r="N36" s="296">
        <v>0</v>
      </c>
      <c r="O36" s="292">
        <v>5781.0581690073432</v>
      </c>
      <c r="P36" s="296">
        <v>0</v>
      </c>
      <c r="Q36" s="292">
        <v>5782.4765427368966</v>
      </c>
      <c r="R36" s="296">
        <v>0</v>
      </c>
      <c r="S36" s="292">
        <v>5778.2214215482372</v>
      </c>
      <c r="T36" s="296">
        <v>0</v>
      </c>
      <c r="U36" s="292">
        <v>5776.8030478186811</v>
      </c>
    </row>
    <row r="37" spans="1:21" x14ac:dyDescent="0.3">
      <c r="A37" s="291"/>
      <c r="B37" s="295"/>
      <c r="C37" s="294"/>
      <c r="D37" s="293"/>
      <c r="E37" s="292"/>
      <c r="F37" s="286"/>
      <c r="G37" s="286"/>
      <c r="H37" s="286"/>
      <c r="I37" s="286"/>
      <c r="J37" s="285"/>
      <c r="K37" s="297" t="s">
        <v>38</v>
      </c>
      <c r="L37" s="296">
        <v>0.99999999999999922</v>
      </c>
      <c r="M37" s="292">
        <v>4241.0694939368996</v>
      </c>
      <c r="N37" s="296">
        <v>1.1000000000000001</v>
      </c>
      <c r="O37" s="292">
        <v>4242.5891429722815</v>
      </c>
      <c r="P37" s="296">
        <v>1.1999999999999988</v>
      </c>
      <c r="Q37" s="292">
        <v>4244.1087920076652</v>
      </c>
      <c r="R37" s="296">
        <v>0.8999999999999998</v>
      </c>
      <c r="S37" s="292">
        <v>4239.5498449015149</v>
      </c>
      <c r="T37" s="296">
        <v>0.79999999999999949</v>
      </c>
      <c r="U37" s="292">
        <v>4238.030195866133</v>
      </c>
    </row>
    <row r="38" spans="1:21" x14ac:dyDescent="0.3">
      <c r="A38" s="291"/>
      <c r="B38" s="295"/>
      <c r="C38" s="294"/>
      <c r="D38" s="293"/>
      <c r="E38" s="292"/>
      <c r="F38" s="286"/>
      <c r="G38" s="286"/>
      <c r="H38" s="286"/>
      <c r="I38" s="286"/>
      <c r="J38" s="285"/>
      <c r="K38" s="297" t="s">
        <v>39</v>
      </c>
      <c r="L38" s="296">
        <v>46</v>
      </c>
      <c r="M38" s="292">
        <v>8794.9898887860363</v>
      </c>
      <c r="N38" s="296">
        <v>50.599999999999994</v>
      </c>
      <c r="O38" s="292">
        <v>8854.3868038331439</v>
      </c>
      <c r="P38" s="296">
        <v>55.199999999999989</v>
      </c>
      <c r="Q38" s="292">
        <v>8913.783718880255</v>
      </c>
      <c r="R38" s="296">
        <v>41.400000000000006</v>
      </c>
      <c r="S38" s="292">
        <v>8735.5929737389251</v>
      </c>
      <c r="T38" s="296">
        <v>36.799999999999997</v>
      </c>
      <c r="U38" s="292">
        <v>8676.1960586918121</v>
      </c>
    </row>
    <row r="39" spans="1:21" x14ac:dyDescent="0.3">
      <c r="A39" s="291"/>
      <c r="B39" s="295"/>
      <c r="C39" s="294"/>
      <c r="D39" s="293"/>
      <c r="E39" s="292"/>
      <c r="F39" s="286"/>
      <c r="G39" s="286"/>
      <c r="H39" s="286"/>
      <c r="I39" s="286"/>
      <c r="J39" s="285"/>
      <c r="K39" s="297" t="s">
        <v>40</v>
      </c>
      <c r="L39" s="296">
        <v>256</v>
      </c>
      <c r="M39" s="292">
        <v>9838.7401277004246</v>
      </c>
      <c r="N39" s="296">
        <v>281.60000000000002</v>
      </c>
      <c r="O39" s="292">
        <v>10217.949102633054</v>
      </c>
      <c r="P39" s="296">
        <v>307.20000000000005</v>
      </c>
      <c r="Q39" s="292">
        <v>10597.158077565682</v>
      </c>
      <c r="R39" s="296">
        <v>230.39999999999998</v>
      </c>
      <c r="S39" s="292">
        <v>9459.5311527677986</v>
      </c>
      <c r="T39" s="296">
        <v>204.8</v>
      </c>
      <c r="U39" s="292">
        <v>9080.3221778351726</v>
      </c>
    </row>
    <row r="40" spans="1:21" x14ac:dyDescent="0.3">
      <c r="A40" s="291"/>
      <c r="B40" s="295"/>
      <c r="C40" s="294"/>
      <c r="D40" s="293"/>
      <c r="E40" s="292"/>
      <c r="F40" s="286"/>
      <c r="G40" s="286"/>
      <c r="H40" s="286"/>
      <c r="I40" s="286"/>
      <c r="J40" s="285"/>
      <c r="K40" s="297" t="s">
        <v>65</v>
      </c>
      <c r="L40" s="296">
        <v>558</v>
      </c>
      <c r="M40" s="292">
        <v>8702.7101733976997</v>
      </c>
      <c r="N40" s="296">
        <v>613.80000000000007</v>
      </c>
      <c r="O40" s="292">
        <v>9660.6971391379084</v>
      </c>
      <c r="P40" s="296">
        <v>669.60000000000014</v>
      </c>
      <c r="Q40" s="292">
        <v>10618.684104878117</v>
      </c>
      <c r="R40" s="296">
        <v>502.20000000000005</v>
      </c>
      <c r="S40" s="292">
        <v>7744.7232076574946</v>
      </c>
      <c r="T40" s="296">
        <v>446.40000000000015</v>
      </c>
      <c r="U40" s="292">
        <v>6786.7362419172832</v>
      </c>
    </row>
    <row r="41" spans="1:21" x14ac:dyDescent="0.3">
      <c r="A41" s="291"/>
      <c r="B41" s="295"/>
      <c r="C41" s="294"/>
      <c r="D41" s="293"/>
      <c r="E41" s="292"/>
      <c r="F41" s="286"/>
      <c r="G41" s="286"/>
      <c r="H41" s="286"/>
      <c r="I41" s="286"/>
      <c r="J41" s="285"/>
      <c r="K41" s="297" t="s">
        <v>66</v>
      </c>
      <c r="L41" s="296">
        <v>911.00000000000068</v>
      </c>
      <c r="M41" s="292">
        <v>10437.028674314326</v>
      </c>
      <c r="N41" s="296">
        <v>1002.1000000000003</v>
      </c>
      <c r="O41" s="292">
        <v>12128.494796203257</v>
      </c>
      <c r="P41" s="296">
        <v>1093.1999999999998</v>
      </c>
      <c r="Q41" s="292">
        <v>13819.960918092191</v>
      </c>
      <c r="R41" s="296">
        <v>819.89999999999941</v>
      </c>
      <c r="S41" s="292">
        <v>8745.5625524253937</v>
      </c>
      <c r="T41" s="296">
        <v>728.79999999999984</v>
      </c>
      <c r="U41" s="292">
        <v>7054.0964305364614</v>
      </c>
    </row>
    <row r="42" spans="1:21" x14ac:dyDescent="0.3">
      <c r="A42" s="291"/>
      <c r="B42" s="295"/>
      <c r="C42" s="294"/>
      <c r="D42" s="293"/>
      <c r="E42" s="292"/>
      <c r="F42" s="286"/>
      <c r="G42" s="286"/>
      <c r="H42" s="286"/>
      <c r="I42" s="286"/>
      <c r="J42" s="285"/>
      <c r="K42" s="279" t="s">
        <v>126</v>
      </c>
      <c r="L42" s="278">
        <v>4547.0000000000018</v>
      </c>
      <c r="M42" s="278">
        <v>103359.08662441769</v>
      </c>
      <c r="N42" s="278">
        <v>5001.7000000000007</v>
      </c>
      <c r="O42" s="278">
        <v>112115.60522784379</v>
      </c>
      <c r="P42" s="278">
        <v>5456.4</v>
      </c>
      <c r="Q42" s="278">
        <v>120872.12383126988</v>
      </c>
      <c r="R42" s="278">
        <v>4092.3</v>
      </c>
      <c r="S42" s="278">
        <v>94602.568020991574</v>
      </c>
      <c r="T42" s="278">
        <v>3637.6000000000004</v>
      </c>
      <c r="U42" s="278">
        <v>85846.04941756546</v>
      </c>
    </row>
    <row r="43" spans="1:21" x14ac:dyDescent="0.3">
      <c r="A43" s="291"/>
      <c r="B43" s="295"/>
      <c r="C43" s="294"/>
      <c r="D43" s="293"/>
      <c r="E43" s="292"/>
      <c r="F43" s="286"/>
      <c r="G43" s="286"/>
      <c r="H43" s="286"/>
      <c r="I43" s="286"/>
      <c r="J43" s="285"/>
      <c r="K43" s="279" t="s">
        <v>127</v>
      </c>
      <c r="L43" s="278">
        <v>3863.0000000000018</v>
      </c>
      <c r="M43" s="278">
        <v>47088.852143300042</v>
      </c>
      <c r="N43" s="278">
        <v>4249.3000000000011</v>
      </c>
      <c r="O43" s="278">
        <v>54589.387359450513</v>
      </c>
      <c r="P43" s="278">
        <v>4635.6000000000004</v>
      </c>
      <c r="Q43" s="278">
        <v>62089.922575600962</v>
      </c>
      <c r="R43" s="278">
        <v>3476.7</v>
      </c>
      <c r="S43" s="278">
        <v>39588.316927149579</v>
      </c>
      <c r="T43" s="278">
        <v>3090.3999999999996</v>
      </c>
      <c r="U43" s="278">
        <v>32087.781710999116</v>
      </c>
    </row>
    <row r="44" spans="1:21" x14ac:dyDescent="0.3">
      <c r="A44" s="291"/>
      <c r="B44" s="290"/>
      <c r="C44" s="289"/>
      <c r="D44" s="288"/>
      <c r="E44" s="287"/>
      <c r="F44" s="286"/>
      <c r="G44" s="286"/>
      <c r="H44" s="286"/>
      <c r="I44" s="286"/>
      <c r="J44" s="285"/>
      <c r="K44" s="279" t="s">
        <v>128</v>
      </c>
      <c r="L44" s="278">
        <v>4547.0000000000018</v>
      </c>
      <c r="M44" s="278">
        <v>7717585.362042997</v>
      </c>
      <c r="N44" s="278">
        <v>5001.7000000000007</v>
      </c>
      <c r="O44" s="278">
        <v>8361157.7090668576</v>
      </c>
      <c r="P44" s="278">
        <v>5456.4</v>
      </c>
      <c r="Q44" s="278">
        <v>9004730.0560907181</v>
      </c>
      <c r="R44" s="278">
        <v>4092.3</v>
      </c>
      <c r="S44" s="278">
        <v>7074013.0150191365</v>
      </c>
      <c r="T44" s="278">
        <v>3637.6000000000004</v>
      </c>
      <c r="U44" s="278">
        <v>6430440.6679952741</v>
      </c>
    </row>
    <row r="45" spans="1:21" x14ac:dyDescent="0.3">
      <c r="A45" s="284"/>
      <c r="B45" s="283"/>
      <c r="C45" s="283"/>
      <c r="D45" s="283" t="s">
        <v>129</v>
      </c>
      <c r="E45" s="282">
        <v>0</v>
      </c>
      <c r="F45" s="281"/>
      <c r="G45" s="281"/>
      <c r="H45" s="281"/>
      <c r="I45" s="281"/>
      <c r="J45" s="280"/>
      <c r="K45" s="279" t="s">
        <v>130</v>
      </c>
      <c r="L45" s="278">
        <v>3863.0000000000018</v>
      </c>
      <c r="M45" s="278">
        <v>5832313.5716303261</v>
      </c>
      <c r="N45" s="278">
        <v>4249.3000000000011</v>
      </c>
      <c r="O45" s="278">
        <v>6371166.8958151257</v>
      </c>
      <c r="P45" s="278">
        <v>4635.6000000000004</v>
      </c>
      <c r="Q45" s="278">
        <v>6910020.2199999215</v>
      </c>
      <c r="R45" s="278">
        <v>3476.7</v>
      </c>
      <c r="S45" s="278">
        <v>5293460.2474455293</v>
      </c>
      <c r="T45" s="278">
        <v>3090.3999999999996</v>
      </c>
      <c r="U45" s="278">
        <v>4754606.9232607316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J9">
    <cfRule type="cellIs" dxfId="11" priority="4" stopIfTrue="1" operator="greaterThanOrEqual">
      <formula>#REF!</formula>
    </cfRule>
  </conditionalFormatting>
  <conditionalFormatting sqref="J10">
    <cfRule type="cellIs" dxfId="10" priority="3" stopIfTrue="1" operator="greaterThanOrEqual">
      <formula>#REF!</formula>
    </cfRule>
  </conditionalFormatting>
  <conditionalFormatting sqref="H9">
    <cfRule type="cellIs" dxfId="9" priority="2" stopIfTrue="1" operator="greaterThanOrEqual">
      <formula>#REF!</formula>
    </cfRule>
  </conditionalFormatting>
  <conditionalFormatting sqref="F4:J4">
    <cfRule type="containsText" dxfId="8" priority="1" stopIfTrue="1" operator="containsText" text="PEAK DAY">
      <formula>NOT(ISERROR(SEARCH("PEAK DAY",F4)))</formula>
    </cfRule>
  </conditionalFormatting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0" zoomScaleNormal="70" workbookViewId="0">
      <selection activeCell="J35" sqref="J35"/>
    </sheetView>
  </sheetViews>
  <sheetFormatPr defaultRowHeight="14.4" x14ac:dyDescent="0.3"/>
  <cols>
    <col min="1" max="1" width="26.6640625" style="277" customWidth="1"/>
    <col min="2" max="3" width="18.6640625" style="277" customWidth="1"/>
    <col min="4" max="4" width="27.6640625" style="277" customWidth="1"/>
    <col min="5" max="5" width="15.6640625" style="277" customWidth="1"/>
    <col min="6" max="7" width="12.6640625" style="277" customWidth="1"/>
    <col min="8" max="8" width="17.6640625" style="277" customWidth="1"/>
    <col min="9" max="10" width="15.6640625" style="277" customWidth="1"/>
    <col min="11" max="13" width="18.6640625" style="276" customWidth="1"/>
    <col min="14" max="21" width="15.88671875" style="276" customWidth="1"/>
    <col min="22" max="256" width="9.109375" style="276"/>
    <col min="257" max="257" width="26.6640625" style="276" customWidth="1"/>
    <col min="258" max="259" width="18.6640625" style="276" customWidth="1"/>
    <col min="260" max="260" width="27.6640625" style="276" customWidth="1"/>
    <col min="261" max="261" width="15.6640625" style="276" customWidth="1"/>
    <col min="262" max="263" width="12.6640625" style="276" customWidth="1"/>
    <col min="264" max="264" width="17.6640625" style="276" customWidth="1"/>
    <col min="265" max="266" width="15.6640625" style="276" customWidth="1"/>
    <col min="267" max="269" width="18.6640625" style="276" customWidth="1"/>
    <col min="270" max="277" width="15.88671875" style="276" customWidth="1"/>
    <col min="278" max="512" width="9.109375" style="276"/>
    <col min="513" max="513" width="26.6640625" style="276" customWidth="1"/>
    <col min="514" max="515" width="18.6640625" style="276" customWidth="1"/>
    <col min="516" max="516" width="27.6640625" style="276" customWidth="1"/>
    <col min="517" max="517" width="15.6640625" style="276" customWidth="1"/>
    <col min="518" max="519" width="12.6640625" style="276" customWidth="1"/>
    <col min="520" max="520" width="17.6640625" style="276" customWidth="1"/>
    <col min="521" max="522" width="15.6640625" style="276" customWidth="1"/>
    <col min="523" max="525" width="18.6640625" style="276" customWidth="1"/>
    <col min="526" max="533" width="15.88671875" style="276" customWidth="1"/>
    <col min="534" max="768" width="9.109375" style="276"/>
    <col min="769" max="769" width="26.6640625" style="276" customWidth="1"/>
    <col min="770" max="771" width="18.6640625" style="276" customWidth="1"/>
    <col min="772" max="772" width="27.6640625" style="276" customWidth="1"/>
    <col min="773" max="773" width="15.6640625" style="276" customWidth="1"/>
    <col min="774" max="775" width="12.6640625" style="276" customWidth="1"/>
    <col min="776" max="776" width="17.6640625" style="276" customWidth="1"/>
    <col min="777" max="778" width="15.6640625" style="276" customWidth="1"/>
    <col min="779" max="781" width="18.6640625" style="276" customWidth="1"/>
    <col min="782" max="789" width="15.88671875" style="276" customWidth="1"/>
    <col min="790" max="1024" width="9.109375" style="276"/>
    <col min="1025" max="1025" width="26.6640625" style="276" customWidth="1"/>
    <col min="1026" max="1027" width="18.6640625" style="276" customWidth="1"/>
    <col min="1028" max="1028" width="27.6640625" style="276" customWidth="1"/>
    <col min="1029" max="1029" width="15.6640625" style="276" customWidth="1"/>
    <col min="1030" max="1031" width="12.6640625" style="276" customWidth="1"/>
    <col min="1032" max="1032" width="17.6640625" style="276" customWidth="1"/>
    <col min="1033" max="1034" width="15.6640625" style="276" customWidth="1"/>
    <col min="1035" max="1037" width="18.6640625" style="276" customWidth="1"/>
    <col min="1038" max="1045" width="15.88671875" style="276" customWidth="1"/>
    <col min="1046" max="1280" width="9.109375" style="276"/>
    <col min="1281" max="1281" width="26.6640625" style="276" customWidth="1"/>
    <col min="1282" max="1283" width="18.6640625" style="276" customWidth="1"/>
    <col min="1284" max="1284" width="27.6640625" style="276" customWidth="1"/>
    <col min="1285" max="1285" width="15.6640625" style="276" customWidth="1"/>
    <col min="1286" max="1287" width="12.6640625" style="276" customWidth="1"/>
    <col min="1288" max="1288" width="17.6640625" style="276" customWidth="1"/>
    <col min="1289" max="1290" width="15.6640625" style="276" customWidth="1"/>
    <col min="1291" max="1293" width="18.6640625" style="276" customWidth="1"/>
    <col min="1294" max="1301" width="15.88671875" style="276" customWidth="1"/>
    <col min="1302" max="1536" width="9.109375" style="276"/>
    <col min="1537" max="1537" width="26.6640625" style="276" customWidth="1"/>
    <col min="1538" max="1539" width="18.6640625" style="276" customWidth="1"/>
    <col min="1540" max="1540" width="27.6640625" style="276" customWidth="1"/>
    <col min="1541" max="1541" width="15.6640625" style="276" customWidth="1"/>
    <col min="1542" max="1543" width="12.6640625" style="276" customWidth="1"/>
    <col min="1544" max="1544" width="17.6640625" style="276" customWidth="1"/>
    <col min="1545" max="1546" width="15.6640625" style="276" customWidth="1"/>
    <col min="1547" max="1549" width="18.6640625" style="276" customWidth="1"/>
    <col min="1550" max="1557" width="15.88671875" style="276" customWidth="1"/>
    <col min="1558" max="1792" width="9.109375" style="276"/>
    <col min="1793" max="1793" width="26.6640625" style="276" customWidth="1"/>
    <col min="1794" max="1795" width="18.6640625" style="276" customWidth="1"/>
    <col min="1796" max="1796" width="27.6640625" style="276" customWidth="1"/>
    <col min="1797" max="1797" width="15.6640625" style="276" customWidth="1"/>
    <col min="1798" max="1799" width="12.6640625" style="276" customWidth="1"/>
    <col min="1800" max="1800" width="17.6640625" style="276" customWidth="1"/>
    <col min="1801" max="1802" width="15.6640625" style="276" customWidth="1"/>
    <col min="1803" max="1805" width="18.6640625" style="276" customWidth="1"/>
    <col min="1806" max="1813" width="15.88671875" style="276" customWidth="1"/>
    <col min="1814" max="2048" width="9.109375" style="276"/>
    <col min="2049" max="2049" width="26.6640625" style="276" customWidth="1"/>
    <col min="2050" max="2051" width="18.6640625" style="276" customWidth="1"/>
    <col min="2052" max="2052" width="27.6640625" style="276" customWidth="1"/>
    <col min="2053" max="2053" width="15.6640625" style="276" customWidth="1"/>
    <col min="2054" max="2055" width="12.6640625" style="276" customWidth="1"/>
    <col min="2056" max="2056" width="17.6640625" style="276" customWidth="1"/>
    <col min="2057" max="2058" width="15.6640625" style="276" customWidth="1"/>
    <col min="2059" max="2061" width="18.6640625" style="276" customWidth="1"/>
    <col min="2062" max="2069" width="15.88671875" style="276" customWidth="1"/>
    <col min="2070" max="2304" width="9.109375" style="276"/>
    <col min="2305" max="2305" width="26.6640625" style="276" customWidth="1"/>
    <col min="2306" max="2307" width="18.6640625" style="276" customWidth="1"/>
    <col min="2308" max="2308" width="27.6640625" style="276" customWidth="1"/>
    <col min="2309" max="2309" width="15.6640625" style="276" customWidth="1"/>
    <col min="2310" max="2311" width="12.6640625" style="276" customWidth="1"/>
    <col min="2312" max="2312" width="17.6640625" style="276" customWidth="1"/>
    <col min="2313" max="2314" width="15.6640625" style="276" customWidth="1"/>
    <col min="2315" max="2317" width="18.6640625" style="276" customWidth="1"/>
    <col min="2318" max="2325" width="15.88671875" style="276" customWidth="1"/>
    <col min="2326" max="2560" width="9.109375" style="276"/>
    <col min="2561" max="2561" width="26.6640625" style="276" customWidth="1"/>
    <col min="2562" max="2563" width="18.6640625" style="276" customWidth="1"/>
    <col min="2564" max="2564" width="27.6640625" style="276" customWidth="1"/>
    <col min="2565" max="2565" width="15.6640625" style="276" customWidth="1"/>
    <col min="2566" max="2567" width="12.6640625" style="276" customWidth="1"/>
    <col min="2568" max="2568" width="17.6640625" style="276" customWidth="1"/>
    <col min="2569" max="2570" width="15.6640625" style="276" customWidth="1"/>
    <col min="2571" max="2573" width="18.6640625" style="276" customWidth="1"/>
    <col min="2574" max="2581" width="15.88671875" style="276" customWidth="1"/>
    <col min="2582" max="2816" width="9.109375" style="276"/>
    <col min="2817" max="2817" width="26.6640625" style="276" customWidth="1"/>
    <col min="2818" max="2819" width="18.6640625" style="276" customWidth="1"/>
    <col min="2820" max="2820" width="27.6640625" style="276" customWidth="1"/>
    <col min="2821" max="2821" width="15.6640625" style="276" customWidth="1"/>
    <col min="2822" max="2823" width="12.6640625" style="276" customWidth="1"/>
    <col min="2824" max="2824" width="17.6640625" style="276" customWidth="1"/>
    <col min="2825" max="2826" width="15.6640625" style="276" customWidth="1"/>
    <col min="2827" max="2829" width="18.6640625" style="276" customWidth="1"/>
    <col min="2830" max="2837" width="15.88671875" style="276" customWidth="1"/>
    <col min="2838" max="3072" width="9.109375" style="276"/>
    <col min="3073" max="3073" width="26.6640625" style="276" customWidth="1"/>
    <col min="3074" max="3075" width="18.6640625" style="276" customWidth="1"/>
    <col min="3076" max="3076" width="27.6640625" style="276" customWidth="1"/>
    <col min="3077" max="3077" width="15.6640625" style="276" customWidth="1"/>
    <col min="3078" max="3079" width="12.6640625" style="276" customWidth="1"/>
    <col min="3080" max="3080" width="17.6640625" style="276" customWidth="1"/>
    <col min="3081" max="3082" width="15.6640625" style="276" customWidth="1"/>
    <col min="3083" max="3085" width="18.6640625" style="276" customWidth="1"/>
    <col min="3086" max="3093" width="15.88671875" style="276" customWidth="1"/>
    <col min="3094" max="3328" width="9.109375" style="276"/>
    <col min="3329" max="3329" width="26.6640625" style="276" customWidth="1"/>
    <col min="3330" max="3331" width="18.6640625" style="276" customWidth="1"/>
    <col min="3332" max="3332" width="27.6640625" style="276" customWidth="1"/>
    <col min="3333" max="3333" width="15.6640625" style="276" customWidth="1"/>
    <col min="3334" max="3335" width="12.6640625" style="276" customWidth="1"/>
    <col min="3336" max="3336" width="17.6640625" style="276" customWidth="1"/>
    <col min="3337" max="3338" width="15.6640625" style="276" customWidth="1"/>
    <col min="3339" max="3341" width="18.6640625" style="276" customWidth="1"/>
    <col min="3342" max="3349" width="15.88671875" style="276" customWidth="1"/>
    <col min="3350" max="3584" width="9.109375" style="276"/>
    <col min="3585" max="3585" width="26.6640625" style="276" customWidth="1"/>
    <col min="3586" max="3587" width="18.6640625" style="276" customWidth="1"/>
    <col min="3588" max="3588" width="27.6640625" style="276" customWidth="1"/>
    <col min="3589" max="3589" width="15.6640625" style="276" customWidth="1"/>
    <col min="3590" max="3591" width="12.6640625" style="276" customWidth="1"/>
    <col min="3592" max="3592" width="17.6640625" style="276" customWidth="1"/>
    <col min="3593" max="3594" width="15.6640625" style="276" customWidth="1"/>
    <col min="3595" max="3597" width="18.6640625" style="276" customWidth="1"/>
    <col min="3598" max="3605" width="15.88671875" style="276" customWidth="1"/>
    <col min="3606" max="3840" width="9.109375" style="276"/>
    <col min="3841" max="3841" width="26.6640625" style="276" customWidth="1"/>
    <col min="3842" max="3843" width="18.6640625" style="276" customWidth="1"/>
    <col min="3844" max="3844" width="27.6640625" style="276" customWidth="1"/>
    <col min="3845" max="3845" width="15.6640625" style="276" customWidth="1"/>
    <col min="3846" max="3847" width="12.6640625" style="276" customWidth="1"/>
    <col min="3848" max="3848" width="17.6640625" style="276" customWidth="1"/>
    <col min="3849" max="3850" width="15.6640625" style="276" customWidth="1"/>
    <col min="3851" max="3853" width="18.6640625" style="276" customWidth="1"/>
    <col min="3854" max="3861" width="15.88671875" style="276" customWidth="1"/>
    <col min="3862" max="4096" width="9.109375" style="276"/>
    <col min="4097" max="4097" width="26.6640625" style="276" customWidth="1"/>
    <col min="4098" max="4099" width="18.6640625" style="276" customWidth="1"/>
    <col min="4100" max="4100" width="27.6640625" style="276" customWidth="1"/>
    <col min="4101" max="4101" width="15.6640625" style="276" customWidth="1"/>
    <col min="4102" max="4103" width="12.6640625" style="276" customWidth="1"/>
    <col min="4104" max="4104" width="17.6640625" style="276" customWidth="1"/>
    <col min="4105" max="4106" width="15.6640625" style="276" customWidth="1"/>
    <col min="4107" max="4109" width="18.6640625" style="276" customWidth="1"/>
    <col min="4110" max="4117" width="15.88671875" style="276" customWidth="1"/>
    <col min="4118" max="4352" width="9.109375" style="276"/>
    <col min="4353" max="4353" width="26.6640625" style="276" customWidth="1"/>
    <col min="4354" max="4355" width="18.6640625" style="276" customWidth="1"/>
    <col min="4356" max="4356" width="27.6640625" style="276" customWidth="1"/>
    <col min="4357" max="4357" width="15.6640625" style="276" customWidth="1"/>
    <col min="4358" max="4359" width="12.6640625" style="276" customWidth="1"/>
    <col min="4360" max="4360" width="17.6640625" style="276" customWidth="1"/>
    <col min="4361" max="4362" width="15.6640625" style="276" customWidth="1"/>
    <col min="4363" max="4365" width="18.6640625" style="276" customWidth="1"/>
    <col min="4366" max="4373" width="15.88671875" style="276" customWidth="1"/>
    <col min="4374" max="4608" width="9.109375" style="276"/>
    <col min="4609" max="4609" width="26.6640625" style="276" customWidth="1"/>
    <col min="4610" max="4611" width="18.6640625" style="276" customWidth="1"/>
    <col min="4612" max="4612" width="27.6640625" style="276" customWidth="1"/>
    <col min="4613" max="4613" width="15.6640625" style="276" customWidth="1"/>
    <col min="4614" max="4615" width="12.6640625" style="276" customWidth="1"/>
    <col min="4616" max="4616" width="17.6640625" style="276" customWidth="1"/>
    <col min="4617" max="4618" width="15.6640625" style="276" customWidth="1"/>
    <col min="4619" max="4621" width="18.6640625" style="276" customWidth="1"/>
    <col min="4622" max="4629" width="15.88671875" style="276" customWidth="1"/>
    <col min="4630" max="4864" width="9.109375" style="276"/>
    <col min="4865" max="4865" width="26.6640625" style="276" customWidth="1"/>
    <col min="4866" max="4867" width="18.6640625" style="276" customWidth="1"/>
    <col min="4868" max="4868" width="27.6640625" style="276" customWidth="1"/>
    <col min="4869" max="4869" width="15.6640625" style="276" customWidth="1"/>
    <col min="4870" max="4871" width="12.6640625" style="276" customWidth="1"/>
    <col min="4872" max="4872" width="17.6640625" style="276" customWidth="1"/>
    <col min="4873" max="4874" width="15.6640625" style="276" customWidth="1"/>
    <col min="4875" max="4877" width="18.6640625" style="276" customWidth="1"/>
    <col min="4878" max="4885" width="15.88671875" style="276" customWidth="1"/>
    <col min="4886" max="5120" width="9.109375" style="276"/>
    <col min="5121" max="5121" width="26.6640625" style="276" customWidth="1"/>
    <col min="5122" max="5123" width="18.6640625" style="276" customWidth="1"/>
    <col min="5124" max="5124" width="27.6640625" style="276" customWidth="1"/>
    <col min="5125" max="5125" width="15.6640625" style="276" customWidth="1"/>
    <col min="5126" max="5127" width="12.6640625" style="276" customWidth="1"/>
    <col min="5128" max="5128" width="17.6640625" style="276" customWidth="1"/>
    <col min="5129" max="5130" width="15.6640625" style="276" customWidth="1"/>
    <col min="5131" max="5133" width="18.6640625" style="276" customWidth="1"/>
    <col min="5134" max="5141" width="15.88671875" style="276" customWidth="1"/>
    <col min="5142" max="5376" width="9.109375" style="276"/>
    <col min="5377" max="5377" width="26.6640625" style="276" customWidth="1"/>
    <col min="5378" max="5379" width="18.6640625" style="276" customWidth="1"/>
    <col min="5380" max="5380" width="27.6640625" style="276" customWidth="1"/>
    <col min="5381" max="5381" width="15.6640625" style="276" customWidth="1"/>
    <col min="5382" max="5383" width="12.6640625" style="276" customWidth="1"/>
    <col min="5384" max="5384" width="17.6640625" style="276" customWidth="1"/>
    <col min="5385" max="5386" width="15.6640625" style="276" customWidth="1"/>
    <col min="5387" max="5389" width="18.6640625" style="276" customWidth="1"/>
    <col min="5390" max="5397" width="15.88671875" style="276" customWidth="1"/>
    <col min="5398" max="5632" width="9.109375" style="276"/>
    <col min="5633" max="5633" width="26.6640625" style="276" customWidth="1"/>
    <col min="5634" max="5635" width="18.6640625" style="276" customWidth="1"/>
    <col min="5636" max="5636" width="27.6640625" style="276" customWidth="1"/>
    <col min="5637" max="5637" width="15.6640625" style="276" customWidth="1"/>
    <col min="5638" max="5639" width="12.6640625" style="276" customWidth="1"/>
    <col min="5640" max="5640" width="17.6640625" style="276" customWidth="1"/>
    <col min="5641" max="5642" width="15.6640625" style="276" customWidth="1"/>
    <col min="5643" max="5645" width="18.6640625" style="276" customWidth="1"/>
    <col min="5646" max="5653" width="15.88671875" style="276" customWidth="1"/>
    <col min="5654" max="5888" width="9.109375" style="276"/>
    <col min="5889" max="5889" width="26.6640625" style="276" customWidth="1"/>
    <col min="5890" max="5891" width="18.6640625" style="276" customWidth="1"/>
    <col min="5892" max="5892" width="27.6640625" style="276" customWidth="1"/>
    <col min="5893" max="5893" width="15.6640625" style="276" customWidth="1"/>
    <col min="5894" max="5895" width="12.6640625" style="276" customWidth="1"/>
    <col min="5896" max="5896" width="17.6640625" style="276" customWidth="1"/>
    <col min="5897" max="5898" width="15.6640625" style="276" customWidth="1"/>
    <col min="5899" max="5901" width="18.6640625" style="276" customWidth="1"/>
    <col min="5902" max="5909" width="15.88671875" style="276" customWidth="1"/>
    <col min="5910" max="6144" width="9.109375" style="276"/>
    <col min="6145" max="6145" width="26.6640625" style="276" customWidth="1"/>
    <col min="6146" max="6147" width="18.6640625" style="276" customWidth="1"/>
    <col min="6148" max="6148" width="27.6640625" style="276" customWidth="1"/>
    <col min="6149" max="6149" width="15.6640625" style="276" customWidth="1"/>
    <col min="6150" max="6151" width="12.6640625" style="276" customWidth="1"/>
    <col min="6152" max="6152" width="17.6640625" style="276" customWidth="1"/>
    <col min="6153" max="6154" width="15.6640625" style="276" customWidth="1"/>
    <col min="6155" max="6157" width="18.6640625" style="276" customWidth="1"/>
    <col min="6158" max="6165" width="15.88671875" style="276" customWidth="1"/>
    <col min="6166" max="6400" width="9.109375" style="276"/>
    <col min="6401" max="6401" width="26.6640625" style="276" customWidth="1"/>
    <col min="6402" max="6403" width="18.6640625" style="276" customWidth="1"/>
    <col min="6404" max="6404" width="27.6640625" style="276" customWidth="1"/>
    <col min="6405" max="6405" width="15.6640625" style="276" customWidth="1"/>
    <col min="6406" max="6407" width="12.6640625" style="276" customWidth="1"/>
    <col min="6408" max="6408" width="17.6640625" style="276" customWidth="1"/>
    <col min="6409" max="6410" width="15.6640625" style="276" customWidth="1"/>
    <col min="6411" max="6413" width="18.6640625" style="276" customWidth="1"/>
    <col min="6414" max="6421" width="15.88671875" style="276" customWidth="1"/>
    <col min="6422" max="6656" width="9.109375" style="276"/>
    <col min="6657" max="6657" width="26.6640625" style="276" customWidth="1"/>
    <col min="6658" max="6659" width="18.6640625" style="276" customWidth="1"/>
    <col min="6660" max="6660" width="27.6640625" style="276" customWidth="1"/>
    <col min="6661" max="6661" width="15.6640625" style="276" customWidth="1"/>
    <col min="6662" max="6663" width="12.6640625" style="276" customWidth="1"/>
    <col min="6664" max="6664" width="17.6640625" style="276" customWidth="1"/>
    <col min="6665" max="6666" width="15.6640625" style="276" customWidth="1"/>
    <col min="6667" max="6669" width="18.6640625" style="276" customWidth="1"/>
    <col min="6670" max="6677" width="15.88671875" style="276" customWidth="1"/>
    <col min="6678" max="6912" width="9.109375" style="276"/>
    <col min="6913" max="6913" width="26.6640625" style="276" customWidth="1"/>
    <col min="6914" max="6915" width="18.6640625" style="276" customWidth="1"/>
    <col min="6916" max="6916" width="27.6640625" style="276" customWidth="1"/>
    <col min="6917" max="6917" width="15.6640625" style="276" customWidth="1"/>
    <col min="6918" max="6919" width="12.6640625" style="276" customWidth="1"/>
    <col min="6920" max="6920" width="17.6640625" style="276" customWidth="1"/>
    <col min="6921" max="6922" width="15.6640625" style="276" customWidth="1"/>
    <col min="6923" max="6925" width="18.6640625" style="276" customWidth="1"/>
    <col min="6926" max="6933" width="15.88671875" style="276" customWidth="1"/>
    <col min="6934" max="7168" width="9.109375" style="276"/>
    <col min="7169" max="7169" width="26.6640625" style="276" customWidth="1"/>
    <col min="7170" max="7171" width="18.6640625" style="276" customWidth="1"/>
    <col min="7172" max="7172" width="27.6640625" style="276" customWidth="1"/>
    <col min="7173" max="7173" width="15.6640625" style="276" customWidth="1"/>
    <col min="7174" max="7175" width="12.6640625" style="276" customWidth="1"/>
    <col min="7176" max="7176" width="17.6640625" style="276" customWidth="1"/>
    <col min="7177" max="7178" width="15.6640625" style="276" customWidth="1"/>
    <col min="7179" max="7181" width="18.6640625" style="276" customWidth="1"/>
    <col min="7182" max="7189" width="15.88671875" style="276" customWidth="1"/>
    <col min="7190" max="7424" width="9.109375" style="276"/>
    <col min="7425" max="7425" width="26.6640625" style="276" customWidth="1"/>
    <col min="7426" max="7427" width="18.6640625" style="276" customWidth="1"/>
    <col min="7428" max="7428" width="27.6640625" style="276" customWidth="1"/>
    <col min="7429" max="7429" width="15.6640625" style="276" customWidth="1"/>
    <col min="7430" max="7431" width="12.6640625" style="276" customWidth="1"/>
    <col min="7432" max="7432" width="17.6640625" style="276" customWidth="1"/>
    <col min="7433" max="7434" width="15.6640625" style="276" customWidth="1"/>
    <col min="7435" max="7437" width="18.6640625" style="276" customWidth="1"/>
    <col min="7438" max="7445" width="15.88671875" style="276" customWidth="1"/>
    <col min="7446" max="7680" width="9.109375" style="276"/>
    <col min="7681" max="7681" width="26.6640625" style="276" customWidth="1"/>
    <col min="7682" max="7683" width="18.6640625" style="276" customWidth="1"/>
    <col min="7684" max="7684" width="27.6640625" style="276" customWidth="1"/>
    <col min="7685" max="7685" width="15.6640625" style="276" customWidth="1"/>
    <col min="7686" max="7687" width="12.6640625" style="276" customWidth="1"/>
    <col min="7688" max="7688" width="17.6640625" style="276" customWidth="1"/>
    <col min="7689" max="7690" width="15.6640625" style="276" customWidth="1"/>
    <col min="7691" max="7693" width="18.6640625" style="276" customWidth="1"/>
    <col min="7694" max="7701" width="15.88671875" style="276" customWidth="1"/>
    <col min="7702" max="7936" width="9.109375" style="276"/>
    <col min="7937" max="7937" width="26.6640625" style="276" customWidth="1"/>
    <col min="7938" max="7939" width="18.6640625" style="276" customWidth="1"/>
    <col min="7940" max="7940" width="27.6640625" style="276" customWidth="1"/>
    <col min="7941" max="7941" width="15.6640625" style="276" customWidth="1"/>
    <col min="7942" max="7943" width="12.6640625" style="276" customWidth="1"/>
    <col min="7944" max="7944" width="17.6640625" style="276" customWidth="1"/>
    <col min="7945" max="7946" width="15.6640625" style="276" customWidth="1"/>
    <col min="7947" max="7949" width="18.6640625" style="276" customWidth="1"/>
    <col min="7950" max="7957" width="15.88671875" style="276" customWidth="1"/>
    <col min="7958" max="8192" width="9.109375" style="276"/>
    <col min="8193" max="8193" width="26.6640625" style="276" customWidth="1"/>
    <col min="8194" max="8195" width="18.6640625" style="276" customWidth="1"/>
    <col min="8196" max="8196" width="27.6640625" style="276" customWidth="1"/>
    <col min="8197" max="8197" width="15.6640625" style="276" customWidth="1"/>
    <col min="8198" max="8199" width="12.6640625" style="276" customWidth="1"/>
    <col min="8200" max="8200" width="17.6640625" style="276" customWidth="1"/>
    <col min="8201" max="8202" width="15.6640625" style="276" customWidth="1"/>
    <col min="8203" max="8205" width="18.6640625" style="276" customWidth="1"/>
    <col min="8206" max="8213" width="15.88671875" style="276" customWidth="1"/>
    <col min="8214" max="8448" width="9.109375" style="276"/>
    <col min="8449" max="8449" width="26.6640625" style="276" customWidth="1"/>
    <col min="8450" max="8451" width="18.6640625" style="276" customWidth="1"/>
    <col min="8452" max="8452" width="27.6640625" style="276" customWidth="1"/>
    <col min="8453" max="8453" width="15.6640625" style="276" customWidth="1"/>
    <col min="8454" max="8455" width="12.6640625" style="276" customWidth="1"/>
    <col min="8456" max="8456" width="17.6640625" style="276" customWidth="1"/>
    <col min="8457" max="8458" width="15.6640625" style="276" customWidth="1"/>
    <col min="8459" max="8461" width="18.6640625" style="276" customWidth="1"/>
    <col min="8462" max="8469" width="15.88671875" style="276" customWidth="1"/>
    <col min="8470" max="8704" width="9.109375" style="276"/>
    <col min="8705" max="8705" width="26.6640625" style="276" customWidth="1"/>
    <col min="8706" max="8707" width="18.6640625" style="276" customWidth="1"/>
    <col min="8708" max="8708" width="27.6640625" style="276" customWidth="1"/>
    <col min="8709" max="8709" width="15.6640625" style="276" customWidth="1"/>
    <col min="8710" max="8711" width="12.6640625" style="276" customWidth="1"/>
    <col min="8712" max="8712" width="17.6640625" style="276" customWidth="1"/>
    <col min="8713" max="8714" width="15.6640625" style="276" customWidth="1"/>
    <col min="8715" max="8717" width="18.6640625" style="276" customWidth="1"/>
    <col min="8718" max="8725" width="15.88671875" style="276" customWidth="1"/>
    <col min="8726" max="8960" width="9.109375" style="276"/>
    <col min="8961" max="8961" width="26.6640625" style="276" customWidth="1"/>
    <col min="8962" max="8963" width="18.6640625" style="276" customWidth="1"/>
    <col min="8964" max="8964" width="27.6640625" style="276" customWidth="1"/>
    <col min="8965" max="8965" width="15.6640625" style="276" customWidth="1"/>
    <col min="8966" max="8967" width="12.6640625" style="276" customWidth="1"/>
    <col min="8968" max="8968" width="17.6640625" style="276" customWidth="1"/>
    <col min="8969" max="8970" width="15.6640625" style="276" customWidth="1"/>
    <col min="8971" max="8973" width="18.6640625" style="276" customWidth="1"/>
    <col min="8974" max="8981" width="15.88671875" style="276" customWidth="1"/>
    <col min="8982" max="9216" width="9.109375" style="276"/>
    <col min="9217" max="9217" width="26.6640625" style="276" customWidth="1"/>
    <col min="9218" max="9219" width="18.6640625" style="276" customWidth="1"/>
    <col min="9220" max="9220" width="27.6640625" style="276" customWidth="1"/>
    <col min="9221" max="9221" width="15.6640625" style="276" customWidth="1"/>
    <col min="9222" max="9223" width="12.6640625" style="276" customWidth="1"/>
    <col min="9224" max="9224" width="17.6640625" style="276" customWidth="1"/>
    <col min="9225" max="9226" width="15.6640625" style="276" customWidth="1"/>
    <col min="9227" max="9229" width="18.6640625" style="276" customWidth="1"/>
    <col min="9230" max="9237" width="15.88671875" style="276" customWidth="1"/>
    <col min="9238" max="9472" width="9.109375" style="276"/>
    <col min="9473" max="9473" width="26.6640625" style="276" customWidth="1"/>
    <col min="9474" max="9475" width="18.6640625" style="276" customWidth="1"/>
    <col min="9476" max="9476" width="27.6640625" style="276" customWidth="1"/>
    <col min="9477" max="9477" width="15.6640625" style="276" customWidth="1"/>
    <col min="9478" max="9479" width="12.6640625" style="276" customWidth="1"/>
    <col min="9480" max="9480" width="17.6640625" style="276" customWidth="1"/>
    <col min="9481" max="9482" width="15.6640625" style="276" customWidth="1"/>
    <col min="9483" max="9485" width="18.6640625" style="276" customWidth="1"/>
    <col min="9486" max="9493" width="15.88671875" style="276" customWidth="1"/>
    <col min="9494" max="9728" width="9.109375" style="276"/>
    <col min="9729" max="9729" width="26.6640625" style="276" customWidth="1"/>
    <col min="9730" max="9731" width="18.6640625" style="276" customWidth="1"/>
    <col min="9732" max="9732" width="27.6640625" style="276" customWidth="1"/>
    <col min="9733" max="9733" width="15.6640625" style="276" customWidth="1"/>
    <col min="9734" max="9735" width="12.6640625" style="276" customWidth="1"/>
    <col min="9736" max="9736" width="17.6640625" style="276" customWidth="1"/>
    <col min="9737" max="9738" width="15.6640625" style="276" customWidth="1"/>
    <col min="9739" max="9741" width="18.6640625" style="276" customWidth="1"/>
    <col min="9742" max="9749" width="15.88671875" style="276" customWidth="1"/>
    <col min="9750" max="9984" width="9.109375" style="276"/>
    <col min="9985" max="9985" width="26.6640625" style="276" customWidth="1"/>
    <col min="9986" max="9987" width="18.6640625" style="276" customWidth="1"/>
    <col min="9988" max="9988" width="27.6640625" style="276" customWidth="1"/>
    <col min="9989" max="9989" width="15.6640625" style="276" customWidth="1"/>
    <col min="9990" max="9991" width="12.6640625" style="276" customWidth="1"/>
    <col min="9992" max="9992" width="17.6640625" style="276" customWidth="1"/>
    <col min="9993" max="9994" width="15.6640625" style="276" customWidth="1"/>
    <col min="9995" max="9997" width="18.6640625" style="276" customWidth="1"/>
    <col min="9998" max="10005" width="15.88671875" style="276" customWidth="1"/>
    <col min="10006" max="10240" width="9.109375" style="276"/>
    <col min="10241" max="10241" width="26.6640625" style="276" customWidth="1"/>
    <col min="10242" max="10243" width="18.6640625" style="276" customWidth="1"/>
    <col min="10244" max="10244" width="27.6640625" style="276" customWidth="1"/>
    <col min="10245" max="10245" width="15.6640625" style="276" customWidth="1"/>
    <col min="10246" max="10247" width="12.6640625" style="276" customWidth="1"/>
    <col min="10248" max="10248" width="17.6640625" style="276" customWidth="1"/>
    <col min="10249" max="10250" width="15.6640625" style="276" customWidth="1"/>
    <col min="10251" max="10253" width="18.6640625" style="276" customWidth="1"/>
    <col min="10254" max="10261" width="15.88671875" style="276" customWidth="1"/>
    <col min="10262" max="10496" width="9.109375" style="276"/>
    <col min="10497" max="10497" width="26.6640625" style="276" customWidth="1"/>
    <col min="10498" max="10499" width="18.6640625" style="276" customWidth="1"/>
    <col min="10500" max="10500" width="27.6640625" style="276" customWidth="1"/>
    <col min="10501" max="10501" width="15.6640625" style="276" customWidth="1"/>
    <col min="10502" max="10503" width="12.6640625" style="276" customWidth="1"/>
    <col min="10504" max="10504" width="17.6640625" style="276" customWidth="1"/>
    <col min="10505" max="10506" width="15.6640625" style="276" customWidth="1"/>
    <col min="10507" max="10509" width="18.6640625" style="276" customWidth="1"/>
    <col min="10510" max="10517" width="15.88671875" style="276" customWidth="1"/>
    <col min="10518" max="10752" width="9.109375" style="276"/>
    <col min="10753" max="10753" width="26.6640625" style="276" customWidth="1"/>
    <col min="10754" max="10755" width="18.6640625" style="276" customWidth="1"/>
    <col min="10756" max="10756" width="27.6640625" style="276" customWidth="1"/>
    <col min="10757" max="10757" width="15.6640625" style="276" customWidth="1"/>
    <col min="10758" max="10759" width="12.6640625" style="276" customWidth="1"/>
    <col min="10760" max="10760" width="17.6640625" style="276" customWidth="1"/>
    <col min="10761" max="10762" width="15.6640625" style="276" customWidth="1"/>
    <col min="10763" max="10765" width="18.6640625" style="276" customWidth="1"/>
    <col min="10766" max="10773" width="15.88671875" style="276" customWidth="1"/>
    <col min="10774" max="11008" width="9.109375" style="276"/>
    <col min="11009" max="11009" width="26.6640625" style="276" customWidth="1"/>
    <col min="11010" max="11011" width="18.6640625" style="276" customWidth="1"/>
    <col min="11012" max="11012" width="27.6640625" style="276" customWidth="1"/>
    <col min="11013" max="11013" width="15.6640625" style="276" customWidth="1"/>
    <col min="11014" max="11015" width="12.6640625" style="276" customWidth="1"/>
    <col min="11016" max="11016" width="17.6640625" style="276" customWidth="1"/>
    <col min="11017" max="11018" width="15.6640625" style="276" customWidth="1"/>
    <col min="11019" max="11021" width="18.6640625" style="276" customWidth="1"/>
    <col min="11022" max="11029" width="15.88671875" style="276" customWidth="1"/>
    <col min="11030" max="11264" width="9.109375" style="276"/>
    <col min="11265" max="11265" width="26.6640625" style="276" customWidth="1"/>
    <col min="11266" max="11267" width="18.6640625" style="276" customWidth="1"/>
    <col min="11268" max="11268" width="27.6640625" style="276" customWidth="1"/>
    <col min="11269" max="11269" width="15.6640625" style="276" customWidth="1"/>
    <col min="11270" max="11271" width="12.6640625" style="276" customWidth="1"/>
    <col min="11272" max="11272" width="17.6640625" style="276" customWidth="1"/>
    <col min="11273" max="11274" width="15.6640625" style="276" customWidth="1"/>
    <col min="11275" max="11277" width="18.6640625" style="276" customWidth="1"/>
    <col min="11278" max="11285" width="15.88671875" style="276" customWidth="1"/>
    <col min="11286" max="11520" width="9.109375" style="276"/>
    <col min="11521" max="11521" width="26.6640625" style="276" customWidth="1"/>
    <col min="11522" max="11523" width="18.6640625" style="276" customWidth="1"/>
    <col min="11524" max="11524" width="27.6640625" style="276" customWidth="1"/>
    <col min="11525" max="11525" width="15.6640625" style="276" customWidth="1"/>
    <col min="11526" max="11527" width="12.6640625" style="276" customWidth="1"/>
    <col min="11528" max="11528" width="17.6640625" style="276" customWidth="1"/>
    <col min="11529" max="11530" width="15.6640625" style="276" customWidth="1"/>
    <col min="11531" max="11533" width="18.6640625" style="276" customWidth="1"/>
    <col min="11534" max="11541" width="15.88671875" style="276" customWidth="1"/>
    <col min="11542" max="11776" width="9.109375" style="276"/>
    <col min="11777" max="11777" width="26.6640625" style="276" customWidth="1"/>
    <col min="11778" max="11779" width="18.6640625" style="276" customWidth="1"/>
    <col min="11780" max="11780" width="27.6640625" style="276" customWidth="1"/>
    <col min="11781" max="11781" width="15.6640625" style="276" customWidth="1"/>
    <col min="11782" max="11783" width="12.6640625" style="276" customWidth="1"/>
    <col min="11784" max="11784" width="17.6640625" style="276" customWidth="1"/>
    <col min="11785" max="11786" width="15.6640625" style="276" customWidth="1"/>
    <col min="11787" max="11789" width="18.6640625" style="276" customWidth="1"/>
    <col min="11790" max="11797" width="15.88671875" style="276" customWidth="1"/>
    <col min="11798" max="12032" width="9.109375" style="276"/>
    <col min="12033" max="12033" width="26.6640625" style="276" customWidth="1"/>
    <col min="12034" max="12035" width="18.6640625" style="276" customWidth="1"/>
    <col min="12036" max="12036" width="27.6640625" style="276" customWidth="1"/>
    <col min="12037" max="12037" width="15.6640625" style="276" customWidth="1"/>
    <col min="12038" max="12039" width="12.6640625" style="276" customWidth="1"/>
    <col min="12040" max="12040" width="17.6640625" style="276" customWidth="1"/>
    <col min="12041" max="12042" width="15.6640625" style="276" customWidth="1"/>
    <col min="12043" max="12045" width="18.6640625" style="276" customWidth="1"/>
    <col min="12046" max="12053" width="15.88671875" style="276" customWidth="1"/>
    <col min="12054" max="12288" width="9.109375" style="276"/>
    <col min="12289" max="12289" width="26.6640625" style="276" customWidth="1"/>
    <col min="12290" max="12291" width="18.6640625" style="276" customWidth="1"/>
    <col min="12292" max="12292" width="27.6640625" style="276" customWidth="1"/>
    <col min="12293" max="12293" width="15.6640625" style="276" customWidth="1"/>
    <col min="12294" max="12295" width="12.6640625" style="276" customWidth="1"/>
    <col min="12296" max="12296" width="17.6640625" style="276" customWidth="1"/>
    <col min="12297" max="12298" width="15.6640625" style="276" customWidth="1"/>
    <col min="12299" max="12301" width="18.6640625" style="276" customWidth="1"/>
    <col min="12302" max="12309" width="15.88671875" style="276" customWidth="1"/>
    <col min="12310" max="12544" width="9.109375" style="276"/>
    <col min="12545" max="12545" width="26.6640625" style="276" customWidth="1"/>
    <col min="12546" max="12547" width="18.6640625" style="276" customWidth="1"/>
    <col min="12548" max="12548" width="27.6640625" style="276" customWidth="1"/>
    <col min="12549" max="12549" width="15.6640625" style="276" customWidth="1"/>
    <col min="12550" max="12551" width="12.6640625" style="276" customWidth="1"/>
    <col min="12552" max="12552" width="17.6640625" style="276" customWidth="1"/>
    <col min="12553" max="12554" width="15.6640625" style="276" customWidth="1"/>
    <col min="12555" max="12557" width="18.6640625" style="276" customWidth="1"/>
    <col min="12558" max="12565" width="15.88671875" style="276" customWidth="1"/>
    <col min="12566" max="12800" width="9.109375" style="276"/>
    <col min="12801" max="12801" width="26.6640625" style="276" customWidth="1"/>
    <col min="12802" max="12803" width="18.6640625" style="276" customWidth="1"/>
    <col min="12804" max="12804" width="27.6640625" style="276" customWidth="1"/>
    <col min="12805" max="12805" width="15.6640625" style="276" customWidth="1"/>
    <col min="12806" max="12807" width="12.6640625" style="276" customWidth="1"/>
    <col min="12808" max="12808" width="17.6640625" style="276" customWidth="1"/>
    <col min="12809" max="12810" width="15.6640625" style="276" customWidth="1"/>
    <col min="12811" max="12813" width="18.6640625" style="276" customWidth="1"/>
    <col min="12814" max="12821" width="15.88671875" style="276" customWidth="1"/>
    <col min="12822" max="13056" width="9.109375" style="276"/>
    <col min="13057" max="13057" width="26.6640625" style="276" customWidth="1"/>
    <col min="13058" max="13059" width="18.6640625" style="276" customWidth="1"/>
    <col min="13060" max="13060" width="27.6640625" style="276" customWidth="1"/>
    <col min="13061" max="13061" width="15.6640625" style="276" customWidth="1"/>
    <col min="13062" max="13063" width="12.6640625" style="276" customWidth="1"/>
    <col min="13064" max="13064" width="17.6640625" style="276" customWidth="1"/>
    <col min="13065" max="13066" width="15.6640625" style="276" customWidth="1"/>
    <col min="13067" max="13069" width="18.6640625" style="276" customWidth="1"/>
    <col min="13070" max="13077" width="15.88671875" style="276" customWidth="1"/>
    <col min="13078" max="13312" width="9.109375" style="276"/>
    <col min="13313" max="13313" width="26.6640625" style="276" customWidth="1"/>
    <col min="13314" max="13315" width="18.6640625" style="276" customWidth="1"/>
    <col min="13316" max="13316" width="27.6640625" style="276" customWidth="1"/>
    <col min="13317" max="13317" width="15.6640625" style="276" customWidth="1"/>
    <col min="13318" max="13319" width="12.6640625" style="276" customWidth="1"/>
    <col min="13320" max="13320" width="17.6640625" style="276" customWidth="1"/>
    <col min="13321" max="13322" width="15.6640625" style="276" customWidth="1"/>
    <col min="13323" max="13325" width="18.6640625" style="276" customWidth="1"/>
    <col min="13326" max="13333" width="15.88671875" style="276" customWidth="1"/>
    <col min="13334" max="13568" width="9.109375" style="276"/>
    <col min="13569" max="13569" width="26.6640625" style="276" customWidth="1"/>
    <col min="13570" max="13571" width="18.6640625" style="276" customWidth="1"/>
    <col min="13572" max="13572" width="27.6640625" style="276" customWidth="1"/>
    <col min="13573" max="13573" width="15.6640625" style="276" customWidth="1"/>
    <col min="13574" max="13575" width="12.6640625" style="276" customWidth="1"/>
    <col min="13576" max="13576" width="17.6640625" style="276" customWidth="1"/>
    <col min="13577" max="13578" width="15.6640625" style="276" customWidth="1"/>
    <col min="13579" max="13581" width="18.6640625" style="276" customWidth="1"/>
    <col min="13582" max="13589" width="15.88671875" style="276" customWidth="1"/>
    <col min="13590" max="13824" width="9.109375" style="276"/>
    <col min="13825" max="13825" width="26.6640625" style="276" customWidth="1"/>
    <col min="13826" max="13827" width="18.6640625" style="276" customWidth="1"/>
    <col min="13828" max="13828" width="27.6640625" style="276" customWidth="1"/>
    <col min="13829" max="13829" width="15.6640625" style="276" customWidth="1"/>
    <col min="13830" max="13831" width="12.6640625" style="276" customWidth="1"/>
    <col min="13832" max="13832" width="17.6640625" style="276" customWidth="1"/>
    <col min="13833" max="13834" width="15.6640625" style="276" customWidth="1"/>
    <col min="13835" max="13837" width="18.6640625" style="276" customWidth="1"/>
    <col min="13838" max="13845" width="15.88671875" style="276" customWidth="1"/>
    <col min="13846" max="14080" width="9.109375" style="276"/>
    <col min="14081" max="14081" width="26.6640625" style="276" customWidth="1"/>
    <col min="14082" max="14083" width="18.6640625" style="276" customWidth="1"/>
    <col min="14084" max="14084" width="27.6640625" style="276" customWidth="1"/>
    <col min="14085" max="14085" width="15.6640625" style="276" customWidth="1"/>
    <col min="14086" max="14087" width="12.6640625" style="276" customWidth="1"/>
    <col min="14088" max="14088" width="17.6640625" style="276" customWidth="1"/>
    <col min="14089" max="14090" width="15.6640625" style="276" customWidth="1"/>
    <col min="14091" max="14093" width="18.6640625" style="276" customWidth="1"/>
    <col min="14094" max="14101" width="15.88671875" style="276" customWidth="1"/>
    <col min="14102" max="14336" width="9.109375" style="276"/>
    <col min="14337" max="14337" width="26.6640625" style="276" customWidth="1"/>
    <col min="14338" max="14339" width="18.6640625" style="276" customWidth="1"/>
    <col min="14340" max="14340" width="27.6640625" style="276" customWidth="1"/>
    <col min="14341" max="14341" width="15.6640625" style="276" customWidth="1"/>
    <col min="14342" max="14343" width="12.6640625" style="276" customWidth="1"/>
    <col min="14344" max="14344" width="17.6640625" style="276" customWidth="1"/>
    <col min="14345" max="14346" width="15.6640625" style="276" customWidth="1"/>
    <col min="14347" max="14349" width="18.6640625" style="276" customWidth="1"/>
    <col min="14350" max="14357" width="15.88671875" style="276" customWidth="1"/>
    <col min="14358" max="14592" width="9.109375" style="276"/>
    <col min="14593" max="14593" width="26.6640625" style="276" customWidth="1"/>
    <col min="14594" max="14595" width="18.6640625" style="276" customWidth="1"/>
    <col min="14596" max="14596" width="27.6640625" style="276" customWidth="1"/>
    <col min="14597" max="14597" width="15.6640625" style="276" customWidth="1"/>
    <col min="14598" max="14599" width="12.6640625" style="276" customWidth="1"/>
    <col min="14600" max="14600" width="17.6640625" style="276" customWidth="1"/>
    <col min="14601" max="14602" width="15.6640625" style="276" customWidth="1"/>
    <col min="14603" max="14605" width="18.6640625" style="276" customWidth="1"/>
    <col min="14606" max="14613" width="15.88671875" style="276" customWidth="1"/>
    <col min="14614" max="14848" width="9.109375" style="276"/>
    <col min="14849" max="14849" width="26.6640625" style="276" customWidth="1"/>
    <col min="14850" max="14851" width="18.6640625" style="276" customWidth="1"/>
    <col min="14852" max="14852" width="27.6640625" style="276" customWidth="1"/>
    <col min="14853" max="14853" width="15.6640625" style="276" customWidth="1"/>
    <col min="14854" max="14855" width="12.6640625" style="276" customWidth="1"/>
    <col min="14856" max="14856" width="17.6640625" style="276" customWidth="1"/>
    <col min="14857" max="14858" width="15.6640625" style="276" customWidth="1"/>
    <col min="14859" max="14861" width="18.6640625" style="276" customWidth="1"/>
    <col min="14862" max="14869" width="15.88671875" style="276" customWidth="1"/>
    <col min="14870" max="15104" width="9.109375" style="276"/>
    <col min="15105" max="15105" width="26.6640625" style="276" customWidth="1"/>
    <col min="15106" max="15107" width="18.6640625" style="276" customWidth="1"/>
    <col min="15108" max="15108" width="27.6640625" style="276" customWidth="1"/>
    <col min="15109" max="15109" width="15.6640625" style="276" customWidth="1"/>
    <col min="15110" max="15111" width="12.6640625" style="276" customWidth="1"/>
    <col min="15112" max="15112" width="17.6640625" style="276" customWidth="1"/>
    <col min="15113" max="15114" width="15.6640625" style="276" customWidth="1"/>
    <col min="15115" max="15117" width="18.6640625" style="276" customWidth="1"/>
    <col min="15118" max="15125" width="15.88671875" style="276" customWidth="1"/>
    <col min="15126" max="15360" width="9.109375" style="276"/>
    <col min="15361" max="15361" width="26.6640625" style="276" customWidth="1"/>
    <col min="15362" max="15363" width="18.6640625" style="276" customWidth="1"/>
    <col min="15364" max="15364" width="27.6640625" style="276" customWidth="1"/>
    <col min="15365" max="15365" width="15.6640625" style="276" customWidth="1"/>
    <col min="15366" max="15367" width="12.6640625" style="276" customWidth="1"/>
    <col min="15368" max="15368" width="17.6640625" style="276" customWidth="1"/>
    <col min="15369" max="15370" width="15.6640625" style="276" customWidth="1"/>
    <col min="15371" max="15373" width="18.6640625" style="276" customWidth="1"/>
    <col min="15374" max="15381" width="15.88671875" style="276" customWidth="1"/>
    <col min="15382" max="15616" width="9.109375" style="276"/>
    <col min="15617" max="15617" width="26.6640625" style="276" customWidth="1"/>
    <col min="15618" max="15619" width="18.6640625" style="276" customWidth="1"/>
    <col min="15620" max="15620" width="27.6640625" style="276" customWidth="1"/>
    <col min="15621" max="15621" width="15.6640625" style="276" customWidth="1"/>
    <col min="15622" max="15623" width="12.6640625" style="276" customWidth="1"/>
    <col min="15624" max="15624" width="17.6640625" style="276" customWidth="1"/>
    <col min="15625" max="15626" width="15.6640625" style="276" customWidth="1"/>
    <col min="15627" max="15629" width="18.6640625" style="276" customWidth="1"/>
    <col min="15630" max="15637" width="15.88671875" style="276" customWidth="1"/>
    <col min="15638" max="15872" width="9.109375" style="276"/>
    <col min="15873" max="15873" width="26.6640625" style="276" customWidth="1"/>
    <col min="15874" max="15875" width="18.6640625" style="276" customWidth="1"/>
    <col min="15876" max="15876" width="27.6640625" style="276" customWidth="1"/>
    <col min="15877" max="15877" width="15.6640625" style="276" customWidth="1"/>
    <col min="15878" max="15879" width="12.6640625" style="276" customWidth="1"/>
    <col min="15880" max="15880" width="17.6640625" style="276" customWidth="1"/>
    <col min="15881" max="15882" width="15.6640625" style="276" customWidth="1"/>
    <col min="15883" max="15885" width="18.6640625" style="276" customWidth="1"/>
    <col min="15886" max="15893" width="15.88671875" style="276" customWidth="1"/>
    <col min="15894" max="16128" width="9.109375" style="276"/>
    <col min="16129" max="16129" width="26.6640625" style="276" customWidth="1"/>
    <col min="16130" max="16131" width="18.6640625" style="276" customWidth="1"/>
    <col min="16132" max="16132" width="27.6640625" style="276" customWidth="1"/>
    <col min="16133" max="16133" width="15.6640625" style="276" customWidth="1"/>
    <col min="16134" max="16135" width="12.6640625" style="276" customWidth="1"/>
    <col min="16136" max="16136" width="17.6640625" style="276" customWidth="1"/>
    <col min="16137" max="16138" width="15.6640625" style="276" customWidth="1"/>
    <col min="16139" max="16141" width="18.6640625" style="276" customWidth="1"/>
    <col min="16142" max="16149" width="15.88671875" style="276" customWidth="1"/>
    <col min="16150" max="16384" width="9.109375" style="276"/>
  </cols>
  <sheetData>
    <row r="1" spans="1:21" ht="17.399999999999999" x14ac:dyDescent="0.3">
      <c r="A1" s="542" t="s">
        <v>60</v>
      </c>
      <c r="B1" s="543"/>
      <c r="C1" s="543"/>
      <c r="D1" s="543"/>
      <c r="E1" s="543"/>
      <c r="F1" s="543"/>
      <c r="G1" s="543"/>
      <c r="H1" s="543"/>
      <c r="I1" s="543"/>
      <c r="J1" s="544"/>
      <c r="K1" s="542" t="s">
        <v>60</v>
      </c>
      <c r="L1" s="543"/>
      <c r="M1" s="543"/>
      <c r="N1" s="543"/>
      <c r="O1" s="543"/>
      <c r="P1" s="543"/>
      <c r="Q1" s="543"/>
      <c r="R1" s="543"/>
      <c r="S1" s="543"/>
      <c r="T1" s="543"/>
      <c r="U1" s="544"/>
    </row>
    <row r="2" spans="1:21" ht="17.399999999999999" x14ac:dyDescent="0.3">
      <c r="A2" s="545" t="s">
        <v>239</v>
      </c>
      <c r="B2" s="546"/>
      <c r="C2" s="546"/>
      <c r="D2" s="546"/>
      <c r="E2" s="546"/>
      <c r="F2" s="546"/>
      <c r="G2" s="546"/>
      <c r="H2" s="546"/>
      <c r="I2" s="546"/>
      <c r="J2" s="547"/>
      <c r="K2" s="545" t="s">
        <v>238</v>
      </c>
      <c r="L2" s="546"/>
      <c r="M2" s="546"/>
      <c r="N2" s="546"/>
      <c r="O2" s="546"/>
      <c r="P2" s="546"/>
      <c r="Q2" s="546"/>
      <c r="R2" s="546"/>
      <c r="S2" s="546"/>
      <c r="T2" s="546"/>
      <c r="U2" s="547"/>
    </row>
    <row r="3" spans="1:21" x14ac:dyDescent="0.3">
      <c r="A3" s="389"/>
      <c r="B3" s="387"/>
      <c r="C3" s="388"/>
      <c r="D3" s="548" t="s">
        <v>245</v>
      </c>
      <c r="E3" s="548"/>
      <c r="F3" s="548"/>
      <c r="G3" s="388"/>
      <c r="H3" s="387"/>
      <c r="I3" s="387"/>
      <c r="J3" s="386"/>
      <c r="K3" s="389"/>
      <c r="L3" s="387"/>
      <c r="M3" s="388"/>
      <c r="N3" s="548" t="s">
        <v>245</v>
      </c>
      <c r="O3" s="548"/>
      <c r="P3" s="548"/>
      <c r="Q3" s="548"/>
      <c r="R3" s="388"/>
      <c r="S3" s="388"/>
      <c r="T3" s="387"/>
      <c r="U3" s="386"/>
    </row>
    <row r="4" spans="1:21" x14ac:dyDescent="0.3">
      <c r="A4" s="385"/>
      <c r="B4" s="384"/>
      <c r="C4" s="384"/>
      <c r="D4" s="384"/>
      <c r="E4" s="384"/>
      <c r="F4" s="522" t="s">
        <v>70</v>
      </c>
      <c r="G4" s="522"/>
      <c r="H4" s="522"/>
      <c r="I4" s="522"/>
      <c r="J4" s="523"/>
      <c r="K4" s="383"/>
      <c r="L4" s="382"/>
      <c r="M4" s="382"/>
      <c r="N4" s="382"/>
      <c r="O4" s="382"/>
      <c r="P4" s="382"/>
      <c r="Q4" s="382"/>
      <c r="R4" s="382"/>
      <c r="S4" s="382"/>
      <c r="T4" s="382"/>
      <c r="U4" s="381"/>
    </row>
    <row r="5" spans="1:21" x14ac:dyDescent="0.3">
      <c r="A5" s="350" t="s">
        <v>71</v>
      </c>
      <c r="B5" s="524" t="s">
        <v>72</v>
      </c>
      <c r="C5" s="525"/>
      <c r="D5" s="354" t="s">
        <v>73</v>
      </c>
      <c r="E5" s="352"/>
      <c r="F5" s="354" t="s">
        <v>74</v>
      </c>
      <c r="G5" s="353"/>
      <c r="H5" s="315" t="s">
        <v>75</v>
      </c>
      <c r="I5" s="305" t="s">
        <v>70</v>
      </c>
      <c r="J5" s="305"/>
      <c r="K5" s="350" t="s">
        <v>71</v>
      </c>
      <c r="L5" s="526" t="s">
        <v>72</v>
      </c>
      <c r="M5" s="527"/>
      <c r="N5" s="354" t="s">
        <v>76</v>
      </c>
      <c r="O5" s="353"/>
      <c r="P5" s="528" t="s">
        <v>236</v>
      </c>
      <c r="Q5" s="529"/>
      <c r="R5" s="529"/>
      <c r="S5" s="529"/>
      <c r="T5" s="529"/>
      <c r="U5" s="530"/>
    </row>
    <row r="6" spans="1:21" x14ac:dyDescent="0.3">
      <c r="A6" s="297" t="s">
        <v>77</v>
      </c>
      <c r="B6" s="537" t="s">
        <v>137</v>
      </c>
      <c r="C6" s="538"/>
      <c r="D6" s="380" t="s">
        <v>79</v>
      </c>
      <c r="E6" s="379">
        <v>0.98785900000000004</v>
      </c>
      <c r="F6" s="366" t="s">
        <v>194</v>
      </c>
      <c r="G6" s="347"/>
      <c r="H6" s="378">
        <v>71.905948540325284</v>
      </c>
      <c r="I6" s="377" t="s">
        <v>70</v>
      </c>
      <c r="J6" s="376"/>
      <c r="K6" s="297" t="s">
        <v>77</v>
      </c>
      <c r="L6" s="539" t="s">
        <v>137</v>
      </c>
      <c r="M6" s="511"/>
      <c r="N6" s="375">
        <v>199655.49575892842</v>
      </c>
      <c r="O6" s="374"/>
      <c r="P6" s="531"/>
      <c r="Q6" s="532"/>
      <c r="R6" s="532"/>
      <c r="S6" s="532"/>
      <c r="T6" s="532"/>
      <c r="U6" s="533"/>
    </row>
    <row r="7" spans="1:21" x14ac:dyDescent="0.3">
      <c r="A7" s="297" t="s">
        <v>80</v>
      </c>
      <c r="B7" s="510" t="s">
        <v>138</v>
      </c>
      <c r="C7" s="511"/>
      <c r="D7" s="362" t="s">
        <v>82</v>
      </c>
      <c r="E7" s="292">
        <v>1226.673</v>
      </c>
      <c r="F7" s="366" t="s">
        <v>195</v>
      </c>
      <c r="G7" s="347"/>
      <c r="H7" s="365">
        <v>59.811612488613704</v>
      </c>
      <c r="I7" s="373" t="s">
        <v>70</v>
      </c>
      <c r="J7" s="372"/>
      <c r="K7" s="371" t="s">
        <v>80</v>
      </c>
      <c r="L7" s="540" t="s">
        <v>138</v>
      </c>
      <c r="M7" s="541"/>
      <c r="N7" s="354"/>
      <c r="O7" s="353"/>
      <c r="P7" s="534"/>
      <c r="Q7" s="535"/>
      <c r="R7" s="535"/>
      <c r="S7" s="535"/>
      <c r="T7" s="535"/>
      <c r="U7" s="536"/>
    </row>
    <row r="8" spans="1:21" ht="15.6" x14ac:dyDescent="0.3">
      <c r="A8" s="297" t="s">
        <v>83</v>
      </c>
      <c r="B8" s="508" t="s">
        <v>196</v>
      </c>
      <c r="C8" s="509"/>
      <c r="D8" s="362" t="s">
        <v>84</v>
      </c>
      <c r="E8" s="292">
        <v>2404.2790799999998</v>
      </c>
      <c r="F8" s="366"/>
      <c r="G8" s="347"/>
      <c r="H8" s="305" t="s">
        <v>85</v>
      </c>
      <c r="I8" s="370" t="s">
        <v>70</v>
      </c>
      <c r="J8" s="305" t="s">
        <v>86</v>
      </c>
      <c r="K8" s="369"/>
      <c r="L8" s="368"/>
      <c r="M8" s="368"/>
      <c r="N8" s="368"/>
      <c r="O8" s="368"/>
      <c r="P8" s="368"/>
      <c r="Q8" s="368"/>
      <c r="R8" s="368"/>
      <c r="S8" s="368"/>
      <c r="T8" s="368"/>
      <c r="U8" s="367"/>
    </row>
    <row r="9" spans="1:21" ht="15.6" x14ac:dyDescent="0.3">
      <c r="A9" s="297" t="s">
        <v>87</v>
      </c>
      <c r="B9" s="508" t="s">
        <v>88</v>
      </c>
      <c r="C9" s="509"/>
      <c r="D9" s="362" t="s">
        <v>89</v>
      </c>
      <c r="E9" s="296">
        <v>74539.482453625795</v>
      </c>
      <c r="F9" s="366" t="s">
        <v>90</v>
      </c>
      <c r="G9" s="347"/>
      <c r="H9" s="365">
        <v>62.32</v>
      </c>
      <c r="I9" s="364">
        <v>41645</v>
      </c>
      <c r="J9" s="363">
        <v>59890</v>
      </c>
      <c r="K9" s="505" t="s">
        <v>91</v>
      </c>
      <c r="L9" s="506"/>
      <c r="M9" s="506"/>
      <c r="N9" s="506"/>
      <c r="O9" s="506"/>
      <c r="P9" s="506"/>
      <c r="Q9" s="506"/>
      <c r="R9" s="506"/>
      <c r="S9" s="506"/>
      <c r="T9" s="506"/>
      <c r="U9" s="507"/>
    </row>
    <row r="10" spans="1:21" x14ac:dyDescent="0.3">
      <c r="A10" s="297" t="s">
        <v>92</v>
      </c>
      <c r="B10" s="510" t="s">
        <v>93</v>
      </c>
      <c r="C10" s="511"/>
      <c r="D10" s="362" t="s">
        <v>94</v>
      </c>
      <c r="E10" s="292">
        <v>125116.01330530264</v>
      </c>
      <c r="F10" s="361" t="s">
        <v>95</v>
      </c>
      <c r="G10" s="360"/>
      <c r="H10" s="359">
        <v>59.68</v>
      </c>
      <c r="I10" s="358">
        <v>42054</v>
      </c>
      <c r="J10" s="357">
        <v>54776</v>
      </c>
      <c r="K10" s="321"/>
      <c r="L10" s="319" t="s">
        <v>96</v>
      </c>
      <c r="M10" s="320"/>
      <c r="N10" s="319" t="s">
        <v>97</v>
      </c>
      <c r="O10" s="320"/>
      <c r="P10" s="319" t="s">
        <v>98</v>
      </c>
      <c r="Q10" s="320"/>
      <c r="R10" s="319" t="s">
        <v>99</v>
      </c>
      <c r="S10" s="320"/>
      <c r="T10" s="319" t="s">
        <v>100</v>
      </c>
      <c r="U10" s="318"/>
    </row>
    <row r="11" spans="1:21" x14ac:dyDescent="0.3">
      <c r="A11" s="512" t="s">
        <v>235</v>
      </c>
      <c r="B11" s="513"/>
      <c r="C11" s="514"/>
      <c r="D11" s="356" t="s">
        <v>101</v>
      </c>
      <c r="E11" s="355">
        <v>199655.49575892842</v>
      </c>
      <c r="F11" s="354" t="s">
        <v>102</v>
      </c>
      <c r="G11" s="353"/>
      <c r="H11" s="315" t="s">
        <v>103</v>
      </c>
      <c r="I11" s="305" t="s">
        <v>104</v>
      </c>
      <c r="J11" s="305" t="s">
        <v>105</v>
      </c>
      <c r="K11" s="316" t="s">
        <v>106</v>
      </c>
      <c r="L11" s="315" t="s">
        <v>107</v>
      </c>
      <c r="M11" s="315" t="s">
        <v>48</v>
      </c>
      <c r="N11" s="315" t="s">
        <v>107</v>
      </c>
      <c r="O11" s="315" t="s">
        <v>48</v>
      </c>
      <c r="P11" s="315" t="s">
        <v>107</v>
      </c>
      <c r="Q11" s="315" t="s">
        <v>48</v>
      </c>
      <c r="R11" s="315" t="s">
        <v>107</v>
      </c>
      <c r="S11" s="315" t="s">
        <v>48</v>
      </c>
      <c r="T11" s="315" t="s">
        <v>107</v>
      </c>
      <c r="U11" s="315" t="s">
        <v>48</v>
      </c>
    </row>
    <row r="12" spans="1:21" x14ac:dyDescent="0.3">
      <c r="A12" s="515"/>
      <c r="B12" s="516"/>
      <c r="C12" s="517"/>
      <c r="D12" s="352" t="s">
        <v>108</v>
      </c>
      <c r="E12" s="351"/>
      <c r="F12" s="350" t="s">
        <v>109</v>
      </c>
      <c r="G12" s="350"/>
      <c r="H12" s="349">
        <v>4414384.0615438726</v>
      </c>
      <c r="I12" s="349">
        <v>34700.504402944614</v>
      </c>
      <c r="J12" s="349">
        <v>4449084.5659468174</v>
      </c>
      <c r="K12" s="297" t="s">
        <v>62</v>
      </c>
      <c r="L12" s="312">
        <v>908.00000000000011</v>
      </c>
      <c r="M12" s="300">
        <v>904989.33997905324</v>
      </c>
      <c r="N12" s="312">
        <v>998.80000000000052</v>
      </c>
      <c r="O12" s="300">
        <v>980315.26671025518</v>
      </c>
      <c r="P12" s="312">
        <v>1089.6000000000004</v>
      </c>
      <c r="Q12" s="300">
        <v>1055641.1934414569</v>
      </c>
      <c r="R12" s="312">
        <v>817.20000000000016</v>
      </c>
      <c r="S12" s="300">
        <v>829663.41324785177</v>
      </c>
      <c r="T12" s="312">
        <v>726.39999999999986</v>
      </c>
      <c r="U12" s="300">
        <v>754337.4865166496</v>
      </c>
    </row>
    <row r="13" spans="1:21" x14ac:dyDescent="0.3">
      <c r="A13" s="515"/>
      <c r="B13" s="516"/>
      <c r="C13" s="517"/>
      <c r="D13" s="348" t="s">
        <v>110</v>
      </c>
      <c r="E13" s="300">
        <v>199277</v>
      </c>
      <c r="F13" s="347" t="s">
        <v>111</v>
      </c>
      <c r="G13" s="297"/>
      <c r="H13" s="346">
        <v>3333884.8892016765</v>
      </c>
      <c r="I13" s="346">
        <v>16160.4885608395</v>
      </c>
      <c r="J13" s="346">
        <v>3350045.377762516</v>
      </c>
      <c r="K13" s="297" t="s">
        <v>63</v>
      </c>
      <c r="L13" s="296">
        <v>706.00000000000034</v>
      </c>
      <c r="M13" s="292">
        <v>718879.42408779706</v>
      </c>
      <c r="N13" s="296">
        <v>776.60000000000048</v>
      </c>
      <c r="O13" s="292">
        <v>777676.44486557983</v>
      </c>
      <c r="P13" s="296">
        <v>847.19999999999982</v>
      </c>
      <c r="Q13" s="292">
        <v>836473.46564336249</v>
      </c>
      <c r="R13" s="296">
        <v>635.4000000000002</v>
      </c>
      <c r="S13" s="292">
        <v>660082.40331001417</v>
      </c>
      <c r="T13" s="296">
        <v>564.80000000000007</v>
      </c>
      <c r="U13" s="292">
        <v>601285.38253223128</v>
      </c>
    </row>
    <row r="14" spans="1:21" x14ac:dyDescent="0.3">
      <c r="A14" s="515"/>
      <c r="B14" s="516"/>
      <c r="C14" s="517"/>
      <c r="D14" s="345" t="s">
        <v>112</v>
      </c>
      <c r="E14" s="292">
        <v>-378</v>
      </c>
      <c r="F14" s="521" t="s">
        <v>246</v>
      </c>
      <c r="G14" s="513"/>
      <c r="H14" s="513"/>
      <c r="I14" s="513"/>
      <c r="J14" s="514"/>
      <c r="K14" s="297" t="s">
        <v>64</v>
      </c>
      <c r="L14" s="296">
        <v>520</v>
      </c>
      <c r="M14" s="292">
        <v>517764.49300809292</v>
      </c>
      <c r="N14" s="296">
        <v>571.99999999999989</v>
      </c>
      <c r="O14" s="292">
        <v>561282.44668250473</v>
      </c>
      <c r="P14" s="296">
        <v>623.99999999999989</v>
      </c>
      <c r="Q14" s="292">
        <v>604800.40035691671</v>
      </c>
      <c r="R14" s="296">
        <v>467.99999999999989</v>
      </c>
      <c r="S14" s="292">
        <v>474246.53933368111</v>
      </c>
      <c r="T14" s="296">
        <v>415.99999999999989</v>
      </c>
      <c r="U14" s="292">
        <v>430728.58565926907</v>
      </c>
    </row>
    <row r="15" spans="1:21" x14ac:dyDescent="0.3">
      <c r="A15" s="515"/>
      <c r="B15" s="516"/>
      <c r="C15" s="517"/>
      <c r="D15" s="345" t="s">
        <v>113</v>
      </c>
      <c r="E15" s="344">
        <v>-1.8932611825341961E-3</v>
      </c>
      <c r="F15" s="515"/>
      <c r="G15" s="516"/>
      <c r="H15" s="516"/>
      <c r="I15" s="516"/>
      <c r="J15" s="517"/>
      <c r="K15" s="297" t="s">
        <v>34</v>
      </c>
      <c r="L15" s="296">
        <v>251</v>
      </c>
      <c r="M15" s="292">
        <v>274784.01340558555</v>
      </c>
      <c r="N15" s="296">
        <v>276.10000000000002</v>
      </c>
      <c r="O15" s="292">
        <v>297716.19108866306</v>
      </c>
      <c r="P15" s="296">
        <v>301.2</v>
      </c>
      <c r="Q15" s="292">
        <v>320648.36877174047</v>
      </c>
      <c r="R15" s="296">
        <v>225.9</v>
      </c>
      <c r="S15" s="292">
        <v>251851.83572250817</v>
      </c>
      <c r="T15" s="296">
        <v>200.80000000000004</v>
      </c>
      <c r="U15" s="292">
        <v>228919.65803943071</v>
      </c>
    </row>
    <row r="16" spans="1:21" x14ac:dyDescent="0.3">
      <c r="A16" s="518"/>
      <c r="B16" s="519"/>
      <c r="C16" s="520"/>
      <c r="D16" s="343"/>
      <c r="E16" s="342"/>
      <c r="F16" s="518"/>
      <c r="G16" s="519"/>
      <c r="H16" s="519"/>
      <c r="I16" s="519"/>
      <c r="J16" s="520"/>
      <c r="K16" s="297" t="s">
        <v>35</v>
      </c>
      <c r="L16" s="296">
        <v>74</v>
      </c>
      <c r="M16" s="292">
        <v>144572.33324714686</v>
      </c>
      <c r="N16" s="296">
        <v>81.399999999999949</v>
      </c>
      <c r="O16" s="292">
        <v>151506.3013639648</v>
      </c>
      <c r="P16" s="296">
        <v>88.800000000000068</v>
      </c>
      <c r="Q16" s="292">
        <v>158440.26948078279</v>
      </c>
      <c r="R16" s="296">
        <v>66.599999999999994</v>
      </c>
      <c r="S16" s="292">
        <v>137638.36513032884</v>
      </c>
      <c r="T16" s="296">
        <v>59.199999999999974</v>
      </c>
      <c r="U16" s="292">
        <v>130704.39701351082</v>
      </c>
    </row>
    <row r="17" spans="1:21" x14ac:dyDescent="0.3">
      <c r="A17" s="341"/>
      <c r="B17" s="338"/>
      <c r="C17" s="338"/>
      <c r="D17" s="338"/>
      <c r="E17" s="340"/>
      <c r="F17" s="339"/>
      <c r="G17" s="338"/>
      <c r="H17" s="338"/>
      <c r="I17" s="338"/>
      <c r="J17" s="337"/>
      <c r="K17" s="297" t="s">
        <v>36</v>
      </c>
      <c r="L17" s="296">
        <v>5.0000000000000044</v>
      </c>
      <c r="M17" s="292">
        <v>99673.699466598118</v>
      </c>
      <c r="N17" s="296">
        <v>5.5000000000000053</v>
      </c>
      <c r="O17" s="292">
        <v>100185.32998130495</v>
      </c>
      <c r="P17" s="296">
        <v>6.000000000000008</v>
      </c>
      <c r="Q17" s="292">
        <v>100696.96049601176</v>
      </c>
      <c r="R17" s="296">
        <v>4.5000000000000053</v>
      </c>
      <c r="S17" s="292">
        <v>99162.068951891284</v>
      </c>
      <c r="T17" s="296">
        <v>4.000000000000008</v>
      </c>
      <c r="U17" s="292">
        <v>98650.438437184464</v>
      </c>
    </row>
    <row r="18" spans="1:21" ht="15.6" x14ac:dyDescent="0.3">
      <c r="A18" s="502" t="s">
        <v>114</v>
      </c>
      <c r="B18" s="503"/>
      <c r="C18" s="503"/>
      <c r="D18" s="503"/>
      <c r="E18" s="503"/>
      <c r="F18" s="503"/>
      <c r="G18" s="503"/>
      <c r="H18" s="503"/>
      <c r="I18" s="503"/>
      <c r="J18" s="504"/>
      <c r="K18" s="297" t="s">
        <v>37</v>
      </c>
      <c r="L18" s="296">
        <v>0</v>
      </c>
      <c r="M18" s="292">
        <v>98177.671769697816</v>
      </c>
      <c r="N18" s="296">
        <v>0</v>
      </c>
      <c r="O18" s="292">
        <v>98183.539680029993</v>
      </c>
      <c r="P18" s="296">
        <v>0</v>
      </c>
      <c r="Q18" s="292">
        <v>98189.407590362156</v>
      </c>
      <c r="R18" s="296">
        <v>0</v>
      </c>
      <c r="S18" s="292">
        <v>98171.803859365624</v>
      </c>
      <c r="T18" s="296">
        <v>0</v>
      </c>
      <c r="U18" s="292">
        <v>98165.935949033446</v>
      </c>
    </row>
    <row r="19" spans="1:21" x14ac:dyDescent="0.3">
      <c r="A19" s="305" t="s">
        <v>67</v>
      </c>
      <c r="B19" s="496" t="s">
        <v>115</v>
      </c>
      <c r="C19" s="497"/>
      <c r="D19" s="498"/>
      <c r="E19" s="305" t="s">
        <v>116</v>
      </c>
      <c r="F19" s="496" t="s">
        <v>117</v>
      </c>
      <c r="G19" s="499"/>
      <c r="H19" s="500"/>
      <c r="I19" s="500"/>
      <c r="J19" s="501"/>
      <c r="K19" s="297" t="s">
        <v>38</v>
      </c>
      <c r="L19" s="296">
        <v>0.999999999999999</v>
      </c>
      <c r="M19" s="292">
        <v>106683.7070683245</v>
      </c>
      <c r="N19" s="296">
        <v>1.0999999999999992</v>
      </c>
      <c r="O19" s="292">
        <v>106771.34626388035</v>
      </c>
      <c r="P19" s="296">
        <v>1.1999999999999997</v>
      </c>
      <c r="Q19" s="292">
        <v>106858.98545943623</v>
      </c>
      <c r="R19" s="296">
        <v>0.89999999999999936</v>
      </c>
      <c r="S19" s="292">
        <v>106596.06787276865</v>
      </c>
      <c r="T19" s="296">
        <v>0.79999999999999938</v>
      </c>
      <c r="U19" s="292">
        <v>106508.42867721278</v>
      </c>
    </row>
    <row r="20" spans="1:21" x14ac:dyDescent="0.3">
      <c r="A20" s="336" t="s">
        <v>119</v>
      </c>
      <c r="B20" s="335" t="s">
        <v>168</v>
      </c>
      <c r="C20" s="299"/>
      <c r="D20" s="334"/>
      <c r="E20" s="292">
        <v>16500</v>
      </c>
      <c r="F20" s="286" t="s">
        <v>166</v>
      </c>
      <c r="G20" s="286"/>
      <c r="H20" s="286"/>
      <c r="I20" s="286"/>
      <c r="J20" s="285"/>
      <c r="K20" s="297" t="s">
        <v>39</v>
      </c>
      <c r="L20" s="296">
        <v>34.999999999999993</v>
      </c>
      <c r="M20" s="292">
        <v>122356.83681091892</v>
      </c>
      <c r="N20" s="296">
        <v>38.5</v>
      </c>
      <c r="O20" s="292">
        <v>125303.14851611483</v>
      </c>
      <c r="P20" s="296">
        <v>41.999999999999993</v>
      </c>
      <c r="Q20" s="292">
        <v>128249.46022131068</v>
      </c>
      <c r="R20" s="296">
        <v>31.5</v>
      </c>
      <c r="S20" s="292">
        <v>119410.52510572301</v>
      </c>
      <c r="T20" s="296">
        <v>27.999999999999993</v>
      </c>
      <c r="U20" s="292">
        <v>116464.21340052711</v>
      </c>
    </row>
    <row r="21" spans="1:21" x14ac:dyDescent="0.3">
      <c r="A21" s="333" t="s">
        <v>119</v>
      </c>
      <c r="B21" s="332" t="s">
        <v>169</v>
      </c>
      <c r="C21" s="286"/>
      <c r="D21" s="331"/>
      <c r="E21" s="292">
        <v>82000</v>
      </c>
      <c r="F21" s="286" t="s">
        <v>170</v>
      </c>
      <c r="G21" s="286"/>
      <c r="H21" s="286"/>
      <c r="I21" s="286"/>
      <c r="J21" s="285"/>
      <c r="K21" s="297" t="s">
        <v>40</v>
      </c>
      <c r="L21" s="296">
        <v>227</v>
      </c>
      <c r="M21" s="292">
        <v>234250.91057392411</v>
      </c>
      <c r="N21" s="296">
        <v>249.70000000000002</v>
      </c>
      <c r="O21" s="292">
        <v>254155.22703158567</v>
      </c>
      <c r="P21" s="296">
        <v>272.40000000000003</v>
      </c>
      <c r="Q21" s="292">
        <v>274059.54348924733</v>
      </c>
      <c r="R21" s="296">
        <v>204.29999999999998</v>
      </c>
      <c r="S21" s="292">
        <v>214346.59411626254</v>
      </c>
      <c r="T21" s="296">
        <v>181.60000000000005</v>
      </c>
      <c r="U21" s="292">
        <v>194442.27765860097</v>
      </c>
    </row>
    <row r="22" spans="1:21" x14ac:dyDescent="0.3">
      <c r="A22" s="333" t="s">
        <v>131</v>
      </c>
      <c r="B22" s="332" t="s">
        <v>132</v>
      </c>
      <c r="C22" s="286"/>
      <c r="D22" s="331"/>
      <c r="E22" s="292">
        <v>78749</v>
      </c>
      <c r="F22" s="286" t="s">
        <v>133</v>
      </c>
      <c r="G22" s="286"/>
      <c r="H22" s="286"/>
      <c r="I22" s="286"/>
      <c r="J22" s="285"/>
      <c r="K22" s="297" t="s">
        <v>65</v>
      </c>
      <c r="L22" s="296">
        <v>500</v>
      </c>
      <c r="M22" s="292">
        <v>435946.7008676299</v>
      </c>
      <c r="N22" s="296">
        <v>550.00000000000011</v>
      </c>
      <c r="O22" s="292">
        <v>477037.07044823695</v>
      </c>
      <c r="P22" s="296">
        <v>600</v>
      </c>
      <c r="Q22" s="292">
        <v>518127.44002884388</v>
      </c>
      <c r="R22" s="296">
        <v>450.00000000000006</v>
      </c>
      <c r="S22" s="292">
        <v>394856.33128702285</v>
      </c>
      <c r="T22" s="296">
        <v>400.00000000000011</v>
      </c>
      <c r="U22" s="292">
        <v>353765.96170641581</v>
      </c>
    </row>
    <row r="23" spans="1:21" x14ac:dyDescent="0.3">
      <c r="A23" s="291"/>
      <c r="B23" s="295"/>
      <c r="C23" s="294"/>
      <c r="D23" s="317"/>
      <c r="E23" s="292"/>
      <c r="F23" s="286" t="s">
        <v>134</v>
      </c>
      <c r="G23" s="286"/>
      <c r="H23" s="286"/>
      <c r="I23" s="286"/>
      <c r="J23" s="285"/>
      <c r="K23" s="297" t="s">
        <v>66</v>
      </c>
      <c r="L23" s="296">
        <v>821.00000000000011</v>
      </c>
      <c r="M23" s="292">
        <v>756304.93125910312</v>
      </c>
      <c r="N23" s="296">
        <v>903.1</v>
      </c>
      <c r="O23" s="292">
        <v>824072.84159391315</v>
      </c>
      <c r="P23" s="296">
        <v>985.1999999999997</v>
      </c>
      <c r="Q23" s="292">
        <v>891840.75192872318</v>
      </c>
      <c r="R23" s="296">
        <v>738.90000000000009</v>
      </c>
      <c r="S23" s="292">
        <v>688537.0209242932</v>
      </c>
      <c r="T23" s="296">
        <v>656.8</v>
      </c>
      <c r="U23" s="292">
        <v>620769.11058948294</v>
      </c>
    </row>
    <row r="24" spans="1:21" x14ac:dyDescent="0.3">
      <c r="A24" s="291"/>
      <c r="B24" s="295"/>
      <c r="C24" s="294"/>
      <c r="D24" s="317"/>
      <c r="E24" s="292"/>
      <c r="F24" s="286" t="s">
        <v>135</v>
      </c>
      <c r="G24" s="286"/>
      <c r="H24" s="286"/>
      <c r="I24" s="286"/>
      <c r="J24" s="285"/>
      <c r="K24" s="279" t="s">
        <v>121</v>
      </c>
      <c r="L24" s="278">
        <v>4048.0000000000005</v>
      </c>
      <c r="M24" s="278">
        <v>4414384.0615438726</v>
      </c>
      <c r="N24" s="278">
        <v>4452.8000000000011</v>
      </c>
      <c r="O24" s="278">
        <v>4754205.1542260339</v>
      </c>
      <c r="P24" s="278">
        <v>4857.5999999999995</v>
      </c>
      <c r="Q24" s="278">
        <v>5094026.2469081935</v>
      </c>
      <c r="R24" s="278">
        <v>3643.2000000000007</v>
      </c>
      <c r="S24" s="278">
        <v>4074562.9688617121</v>
      </c>
      <c r="T24" s="278">
        <v>3238.3999999999996</v>
      </c>
      <c r="U24" s="278">
        <v>3734741.8761795484</v>
      </c>
    </row>
    <row r="25" spans="1:21" x14ac:dyDescent="0.3">
      <c r="A25" s="291" t="s">
        <v>119</v>
      </c>
      <c r="B25" s="295" t="s">
        <v>171</v>
      </c>
      <c r="C25" s="294"/>
      <c r="D25" s="317"/>
      <c r="E25" s="292">
        <v>10000</v>
      </c>
      <c r="F25" s="286" t="s">
        <v>166</v>
      </c>
      <c r="G25" s="286"/>
      <c r="H25" s="286"/>
      <c r="I25" s="286"/>
      <c r="J25" s="285"/>
      <c r="K25" s="279" t="s">
        <v>122</v>
      </c>
      <c r="L25" s="278">
        <v>3455.0000000000005</v>
      </c>
      <c r="M25" s="278">
        <v>3333884.8892016765</v>
      </c>
      <c r="N25" s="278">
        <v>3800.5000000000009</v>
      </c>
      <c r="O25" s="278">
        <v>3620384.0703004901</v>
      </c>
      <c r="P25" s="278">
        <v>4146</v>
      </c>
      <c r="Q25" s="278">
        <v>3906883.2513993029</v>
      </c>
      <c r="R25" s="278">
        <v>3109.5000000000005</v>
      </c>
      <c r="S25" s="278">
        <v>3047385.7081028633</v>
      </c>
      <c r="T25" s="278">
        <v>2764</v>
      </c>
      <c r="U25" s="278">
        <v>2760886.5270040487</v>
      </c>
    </row>
    <row r="26" spans="1:21" x14ac:dyDescent="0.3">
      <c r="A26" s="330" t="s">
        <v>119</v>
      </c>
      <c r="B26" s="329" t="s">
        <v>208</v>
      </c>
      <c r="C26" s="326"/>
      <c r="D26" s="328"/>
      <c r="E26" s="327">
        <v>1028</v>
      </c>
      <c r="F26" s="326" t="s">
        <v>242</v>
      </c>
      <c r="G26" s="326"/>
      <c r="H26" s="326"/>
      <c r="I26" s="326"/>
      <c r="J26" s="325"/>
      <c r="K26" s="324"/>
      <c r="L26" s="323"/>
      <c r="M26" s="323"/>
      <c r="N26" s="323"/>
      <c r="O26" s="323"/>
      <c r="P26" s="323"/>
      <c r="Q26" s="323"/>
      <c r="R26" s="323"/>
      <c r="S26" s="323"/>
      <c r="T26" s="323"/>
      <c r="U26" s="322"/>
    </row>
    <row r="27" spans="1:21" ht="15.6" x14ac:dyDescent="0.3">
      <c r="A27" s="291" t="s">
        <v>136</v>
      </c>
      <c r="B27" s="295" t="s">
        <v>142</v>
      </c>
      <c r="C27" s="294"/>
      <c r="D27" s="317"/>
      <c r="E27" s="292">
        <v>6000</v>
      </c>
      <c r="F27" s="286" t="s">
        <v>172</v>
      </c>
      <c r="G27" s="286"/>
      <c r="H27" s="286"/>
      <c r="I27" s="286"/>
      <c r="J27" s="285"/>
      <c r="K27" s="505" t="s">
        <v>123</v>
      </c>
      <c r="L27" s="506"/>
      <c r="M27" s="506"/>
      <c r="N27" s="506"/>
      <c r="O27" s="506"/>
      <c r="P27" s="506"/>
      <c r="Q27" s="506"/>
      <c r="R27" s="506"/>
      <c r="S27" s="506"/>
      <c r="T27" s="506"/>
      <c r="U27" s="507"/>
    </row>
    <row r="28" spans="1:21" x14ac:dyDescent="0.3">
      <c r="A28" s="291" t="s">
        <v>119</v>
      </c>
      <c r="B28" s="295" t="s">
        <v>243</v>
      </c>
      <c r="C28" s="294"/>
      <c r="D28" s="317"/>
      <c r="E28" s="292">
        <v>5000</v>
      </c>
      <c r="F28" s="286" t="s">
        <v>244</v>
      </c>
      <c r="G28" s="286"/>
      <c r="H28" s="286"/>
      <c r="I28" s="286"/>
      <c r="J28" s="285"/>
      <c r="K28" s="321"/>
      <c r="L28" s="319" t="s">
        <v>96</v>
      </c>
      <c r="M28" s="320"/>
      <c r="N28" s="319" t="s">
        <v>97</v>
      </c>
      <c r="O28" s="320"/>
      <c r="P28" s="319" t="s">
        <v>98</v>
      </c>
      <c r="Q28" s="320"/>
      <c r="R28" s="319" t="s">
        <v>99</v>
      </c>
      <c r="S28" s="320"/>
      <c r="T28" s="319" t="s">
        <v>100</v>
      </c>
      <c r="U28" s="318"/>
    </row>
    <row r="29" spans="1:21" x14ac:dyDescent="0.3">
      <c r="A29" s="291"/>
      <c r="B29" s="295"/>
      <c r="C29" s="294"/>
      <c r="D29" s="317"/>
      <c r="E29" s="292"/>
      <c r="F29" s="286"/>
      <c r="G29" s="286"/>
      <c r="H29" s="286"/>
      <c r="I29" s="286"/>
      <c r="J29" s="285"/>
      <c r="K29" s="316" t="s">
        <v>106</v>
      </c>
      <c r="L29" s="315" t="s">
        <v>107</v>
      </c>
      <c r="M29" s="315" t="s">
        <v>48</v>
      </c>
      <c r="N29" s="315" t="s">
        <v>107</v>
      </c>
      <c r="O29" s="315" t="s">
        <v>48</v>
      </c>
      <c r="P29" s="315" t="s">
        <v>107</v>
      </c>
      <c r="Q29" s="315" t="s">
        <v>48</v>
      </c>
      <c r="R29" s="315" t="s">
        <v>107</v>
      </c>
      <c r="S29" s="315" t="s">
        <v>48</v>
      </c>
      <c r="T29" s="315" t="s">
        <v>107</v>
      </c>
      <c r="U29" s="315" t="s">
        <v>48</v>
      </c>
    </row>
    <row r="30" spans="1:21" x14ac:dyDescent="0.3">
      <c r="A30" s="314"/>
      <c r="B30" s="290"/>
      <c r="C30" s="289"/>
      <c r="D30" s="313"/>
      <c r="E30" s="287"/>
      <c r="F30" s="286"/>
      <c r="G30" s="286"/>
      <c r="H30" s="286"/>
      <c r="I30" s="286"/>
      <c r="J30" s="285"/>
      <c r="K30" s="297" t="s">
        <v>62</v>
      </c>
      <c r="L30" s="312">
        <v>908.00000000000011</v>
      </c>
      <c r="M30" s="300">
        <v>3886.6034857044096</v>
      </c>
      <c r="N30" s="312">
        <v>998.80000000000052</v>
      </c>
      <c r="O30" s="300">
        <v>3736.3742136852061</v>
      </c>
      <c r="P30" s="312">
        <v>1089.6000000000004</v>
      </c>
      <c r="Q30" s="300">
        <v>3586.1449416660025</v>
      </c>
      <c r="R30" s="312">
        <v>817.20000000000016</v>
      </c>
      <c r="S30" s="300">
        <v>4036.8327577236132</v>
      </c>
      <c r="T30" s="312">
        <v>726.39999999999986</v>
      </c>
      <c r="U30" s="300">
        <v>4187.0620297428168</v>
      </c>
    </row>
    <row r="31" spans="1:21" x14ac:dyDescent="0.3">
      <c r="A31" s="284"/>
      <c r="B31" s="283"/>
      <c r="C31" s="283"/>
      <c r="D31" s="283" t="s">
        <v>124</v>
      </c>
      <c r="E31" s="282">
        <v>199277</v>
      </c>
      <c r="F31" s="281"/>
      <c r="G31" s="281"/>
      <c r="H31" s="281"/>
      <c r="I31" s="281"/>
      <c r="J31" s="280"/>
      <c r="K31" s="297" t="s">
        <v>63</v>
      </c>
      <c r="L31" s="296">
        <v>706.00000000000034</v>
      </c>
      <c r="M31" s="292">
        <v>3340.4997319934223</v>
      </c>
      <c r="N31" s="296">
        <v>776.60000000000048</v>
      </c>
      <c r="O31" s="292">
        <v>3213.2782272232662</v>
      </c>
      <c r="P31" s="296">
        <v>847.19999999999982</v>
      </c>
      <c r="Q31" s="292">
        <v>3086.0567224531101</v>
      </c>
      <c r="R31" s="296">
        <v>635.4000000000002</v>
      </c>
      <c r="S31" s="292">
        <v>3467.7212367635789</v>
      </c>
      <c r="T31" s="296">
        <v>564.80000000000007</v>
      </c>
      <c r="U31" s="292">
        <v>3594.9427415337359</v>
      </c>
    </row>
    <row r="32" spans="1:21" x14ac:dyDescent="0.3">
      <c r="A32" s="311"/>
      <c r="B32" s="310"/>
      <c r="C32" s="310"/>
      <c r="D32" s="309"/>
      <c r="E32" s="308"/>
      <c r="F32" s="307"/>
      <c r="G32" s="307"/>
      <c r="H32" s="307"/>
      <c r="I32" s="307"/>
      <c r="J32" s="306"/>
      <c r="K32" s="297" t="s">
        <v>64</v>
      </c>
      <c r="L32" s="296">
        <v>520</v>
      </c>
      <c r="M32" s="292">
        <v>3922.0505104579101</v>
      </c>
      <c r="N32" s="296">
        <v>571.99999999999989</v>
      </c>
      <c r="O32" s="292">
        <v>3819.0321569840071</v>
      </c>
      <c r="P32" s="296">
        <v>623.99999999999989</v>
      </c>
      <c r="Q32" s="292">
        <v>3716.0138035101049</v>
      </c>
      <c r="R32" s="296">
        <v>467.99999999999989</v>
      </c>
      <c r="S32" s="292">
        <v>4025.0688639318118</v>
      </c>
      <c r="T32" s="296">
        <v>415.99999999999989</v>
      </c>
      <c r="U32" s="292">
        <v>4128.0872174057149</v>
      </c>
    </row>
    <row r="33" spans="1:21" ht="15.6" x14ac:dyDescent="0.3">
      <c r="A33" s="502" t="s">
        <v>125</v>
      </c>
      <c r="B33" s="503"/>
      <c r="C33" s="503"/>
      <c r="D33" s="503"/>
      <c r="E33" s="503"/>
      <c r="F33" s="503"/>
      <c r="G33" s="503"/>
      <c r="H33" s="503"/>
      <c r="I33" s="503"/>
      <c r="J33" s="504"/>
      <c r="K33" s="297" t="s">
        <v>34</v>
      </c>
      <c r="L33" s="296">
        <v>251</v>
      </c>
      <c r="M33" s="292">
        <v>2490.2890256356823</v>
      </c>
      <c r="N33" s="296">
        <v>276.10000000000002</v>
      </c>
      <c r="O33" s="292">
        <v>2442.0960943704249</v>
      </c>
      <c r="P33" s="296">
        <v>301.2</v>
      </c>
      <c r="Q33" s="292">
        <v>2393.9031631051689</v>
      </c>
      <c r="R33" s="296">
        <v>225.9</v>
      </c>
      <c r="S33" s="292">
        <v>2538.4819569009387</v>
      </c>
      <c r="T33" s="296">
        <v>200.80000000000004</v>
      </c>
      <c r="U33" s="292">
        <v>2586.6748881661965</v>
      </c>
    </row>
    <row r="34" spans="1:21" x14ac:dyDescent="0.3">
      <c r="A34" s="305" t="s">
        <v>67</v>
      </c>
      <c r="B34" s="496" t="s">
        <v>115</v>
      </c>
      <c r="C34" s="497"/>
      <c r="D34" s="498"/>
      <c r="E34" s="305" t="s">
        <v>116</v>
      </c>
      <c r="F34" s="496" t="s">
        <v>117</v>
      </c>
      <c r="G34" s="499"/>
      <c r="H34" s="500"/>
      <c r="I34" s="500"/>
      <c r="J34" s="501"/>
      <c r="K34" s="297" t="s">
        <v>35</v>
      </c>
      <c r="L34" s="296">
        <v>74</v>
      </c>
      <c r="M34" s="292">
        <v>3354.4721498955246</v>
      </c>
      <c r="N34" s="296">
        <v>81.399999999999949</v>
      </c>
      <c r="O34" s="292">
        <v>3337.1910917645478</v>
      </c>
      <c r="P34" s="296">
        <v>88.800000000000068</v>
      </c>
      <c r="Q34" s="292">
        <v>3319.9100336335719</v>
      </c>
      <c r="R34" s="296">
        <v>66.599999999999994</v>
      </c>
      <c r="S34" s="292">
        <v>3371.7532080264991</v>
      </c>
      <c r="T34" s="296">
        <v>59.199999999999974</v>
      </c>
      <c r="U34" s="292">
        <v>3389.0342661574768</v>
      </c>
    </row>
    <row r="35" spans="1:21" x14ac:dyDescent="0.3">
      <c r="A35" s="304"/>
      <c r="B35" s="303"/>
      <c r="C35" s="302"/>
      <c r="D35" s="301"/>
      <c r="E35" s="300"/>
      <c r="F35" s="299"/>
      <c r="G35" s="299"/>
      <c r="H35" s="299"/>
      <c r="I35" s="299"/>
      <c r="J35" s="298"/>
      <c r="K35" s="297" t="s">
        <v>36</v>
      </c>
      <c r="L35" s="296">
        <v>5.0000000000000044</v>
      </c>
      <c r="M35" s="292">
        <v>2595.8215341232108</v>
      </c>
      <c r="N35" s="296">
        <v>5.5000000000000053</v>
      </c>
      <c r="O35" s="292">
        <v>2593.1699097288329</v>
      </c>
      <c r="P35" s="296">
        <v>6.000000000000008</v>
      </c>
      <c r="Q35" s="292">
        <v>2590.5182853344545</v>
      </c>
      <c r="R35" s="296">
        <v>4.5000000000000053</v>
      </c>
      <c r="S35" s="292">
        <v>2598.4731585175864</v>
      </c>
      <c r="T35" s="296">
        <v>4.000000000000008</v>
      </c>
      <c r="U35" s="292">
        <v>2601.1247829119643</v>
      </c>
    </row>
    <row r="36" spans="1:21" x14ac:dyDescent="0.3">
      <c r="A36" s="291"/>
      <c r="B36" s="295"/>
      <c r="C36" s="294"/>
      <c r="D36" s="293"/>
      <c r="E36" s="292"/>
      <c r="F36" s="286"/>
      <c r="G36" s="286"/>
      <c r="H36" s="286"/>
      <c r="I36" s="286"/>
      <c r="J36" s="285"/>
      <c r="K36" s="297" t="s">
        <v>37</v>
      </c>
      <c r="L36" s="296">
        <v>0</v>
      </c>
      <c r="M36" s="292">
        <v>2408.5124224414794</v>
      </c>
      <c r="N36" s="296">
        <v>0</v>
      </c>
      <c r="O36" s="292">
        <v>2408.3460700982141</v>
      </c>
      <c r="P36" s="296">
        <v>0</v>
      </c>
      <c r="Q36" s="292">
        <v>2408.1797177549483</v>
      </c>
      <c r="R36" s="296">
        <v>0</v>
      </c>
      <c r="S36" s="292">
        <v>2408.6787747847443</v>
      </c>
      <c r="T36" s="296">
        <v>0</v>
      </c>
      <c r="U36" s="292">
        <v>2408.8451271280105</v>
      </c>
    </row>
    <row r="37" spans="1:21" x14ac:dyDescent="0.3">
      <c r="A37" s="291"/>
      <c r="B37" s="295"/>
      <c r="C37" s="294"/>
      <c r="D37" s="293"/>
      <c r="E37" s="292"/>
      <c r="F37" s="286"/>
      <c r="G37" s="286"/>
      <c r="H37" s="286"/>
      <c r="I37" s="286"/>
      <c r="J37" s="285"/>
      <c r="K37" s="297" t="s">
        <v>38</v>
      </c>
      <c r="L37" s="296">
        <v>0.999999999999999</v>
      </c>
      <c r="M37" s="292">
        <v>2865.8563320769072</v>
      </c>
      <c r="N37" s="296">
        <v>1.0999999999999992</v>
      </c>
      <c r="O37" s="292">
        <v>2865.7770235956987</v>
      </c>
      <c r="P37" s="296">
        <v>1.1999999999999997</v>
      </c>
      <c r="Q37" s="292">
        <v>2865.6977151144897</v>
      </c>
      <c r="R37" s="296">
        <v>0.89999999999999936</v>
      </c>
      <c r="S37" s="292">
        <v>2865.9356405581157</v>
      </c>
      <c r="T37" s="296">
        <v>0.79999999999999938</v>
      </c>
      <c r="U37" s="292">
        <v>2866.0149490393242</v>
      </c>
    </row>
    <row r="38" spans="1:21" x14ac:dyDescent="0.3">
      <c r="A38" s="291"/>
      <c r="B38" s="295"/>
      <c r="C38" s="294"/>
      <c r="D38" s="293"/>
      <c r="E38" s="292"/>
      <c r="F38" s="286"/>
      <c r="G38" s="286"/>
      <c r="H38" s="286"/>
      <c r="I38" s="286"/>
      <c r="J38" s="285"/>
      <c r="K38" s="297" t="s">
        <v>39</v>
      </c>
      <c r="L38" s="296">
        <v>34.999999999999993</v>
      </c>
      <c r="M38" s="292">
        <v>2029.1052333238547</v>
      </c>
      <c r="N38" s="296">
        <v>38.5</v>
      </c>
      <c r="O38" s="292">
        <v>2028.1259048302873</v>
      </c>
      <c r="P38" s="296">
        <v>41.999999999999993</v>
      </c>
      <c r="Q38" s="292">
        <v>2027.1465763367191</v>
      </c>
      <c r="R38" s="296">
        <v>31.5</v>
      </c>
      <c r="S38" s="292">
        <v>2030.0845618174221</v>
      </c>
      <c r="T38" s="296">
        <v>27.999999999999993</v>
      </c>
      <c r="U38" s="292">
        <v>2031.0638903109905</v>
      </c>
    </row>
    <row r="39" spans="1:21" x14ac:dyDescent="0.3">
      <c r="A39" s="291"/>
      <c r="B39" s="295"/>
      <c r="C39" s="294"/>
      <c r="D39" s="293"/>
      <c r="E39" s="292"/>
      <c r="F39" s="286"/>
      <c r="G39" s="286"/>
      <c r="H39" s="286"/>
      <c r="I39" s="286"/>
      <c r="J39" s="285"/>
      <c r="K39" s="297" t="s">
        <v>40</v>
      </c>
      <c r="L39" s="296">
        <v>227</v>
      </c>
      <c r="M39" s="292">
        <v>2795.9591446084546</v>
      </c>
      <c r="N39" s="296">
        <v>249.70000000000002</v>
      </c>
      <c r="O39" s="292">
        <v>2777.5342664184691</v>
      </c>
      <c r="P39" s="296">
        <v>272.40000000000003</v>
      </c>
      <c r="Q39" s="292">
        <v>2759.1093882284831</v>
      </c>
      <c r="R39" s="296">
        <v>204.29999999999998</v>
      </c>
      <c r="S39" s="292">
        <v>2814.3840227984383</v>
      </c>
      <c r="T39" s="296">
        <v>181.60000000000005</v>
      </c>
      <c r="U39" s="292">
        <v>2832.8089009884247</v>
      </c>
    </row>
    <row r="40" spans="1:21" x14ac:dyDescent="0.3">
      <c r="A40" s="291"/>
      <c r="B40" s="295"/>
      <c r="C40" s="294"/>
      <c r="D40" s="293"/>
      <c r="E40" s="292"/>
      <c r="F40" s="286"/>
      <c r="G40" s="286"/>
      <c r="H40" s="286"/>
      <c r="I40" s="286"/>
      <c r="J40" s="285"/>
      <c r="K40" s="297" t="s">
        <v>65</v>
      </c>
      <c r="L40" s="296">
        <v>500</v>
      </c>
      <c r="M40" s="292">
        <v>3036.7919499911809</v>
      </c>
      <c r="N40" s="296">
        <v>550.00000000000011</v>
      </c>
      <c r="O40" s="292">
        <v>2973.8565796372027</v>
      </c>
      <c r="P40" s="296">
        <v>600</v>
      </c>
      <c r="Q40" s="292">
        <v>2910.9212092832245</v>
      </c>
      <c r="R40" s="296">
        <v>450.00000000000006</v>
      </c>
      <c r="S40" s="292">
        <v>3099.72732034516</v>
      </c>
      <c r="T40" s="296">
        <v>400.00000000000011</v>
      </c>
      <c r="U40" s="292">
        <v>3162.6626906991382</v>
      </c>
    </row>
    <row r="41" spans="1:21" x14ac:dyDescent="0.3">
      <c r="A41" s="291"/>
      <c r="B41" s="295"/>
      <c r="C41" s="294"/>
      <c r="D41" s="293"/>
      <c r="E41" s="292"/>
      <c r="F41" s="286"/>
      <c r="G41" s="286"/>
      <c r="H41" s="286"/>
      <c r="I41" s="286"/>
      <c r="J41" s="285"/>
      <c r="K41" s="297" t="s">
        <v>66</v>
      </c>
      <c r="L41" s="296">
        <v>821.00000000000011</v>
      </c>
      <c r="M41" s="292">
        <v>1974.5428826925786</v>
      </c>
      <c r="N41" s="296">
        <v>903.1</v>
      </c>
      <c r="O41" s="292">
        <v>1853.1804461125569</v>
      </c>
      <c r="P41" s="296">
        <v>985.1999999999997</v>
      </c>
      <c r="Q41" s="292">
        <v>1731.8180095325347</v>
      </c>
      <c r="R41" s="296">
        <v>738.90000000000009</v>
      </c>
      <c r="S41" s="292">
        <v>2095.9053192726001</v>
      </c>
      <c r="T41" s="296">
        <v>656.8</v>
      </c>
      <c r="U41" s="292">
        <v>2217.2677558526225</v>
      </c>
    </row>
    <row r="42" spans="1:21" x14ac:dyDescent="0.3">
      <c r="A42" s="291"/>
      <c r="B42" s="295"/>
      <c r="C42" s="294"/>
      <c r="D42" s="293"/>
      <c r="E42" s="292"/>
      <c r="F42" s="286"/>
      <c r="G42" s="286"/>
      <c r="H42" s="286"/>
      <c r="I42" s="286"/>
      <c r="J42" s="285"/>
      <c r="K42" s="279" t="s">
        <v>126</v>
      </c>
      <c r="L42" s="278">
        <v>4048.0000000000005</v>
      </c>
      <c r="M42" s="278">
        <v>34700.504402944614</v>
      </c>
      <c r="N42" s="278">
        <v>4452.8000000000011</v>
      </c>
      <c r="O42" s="278">
        <v>34047.961984448717</v>
      </c>
      <c r="P42" s="278">
        <v>4857.5999999999995</v>
      </c>
      <c r="Q42" s="278">
        <v>33395.419565952812</v>
      </c>
      <c r="R42" s="278">
        <v>3643.2000000000007</v>
      </c>
      <c r="S42" s="278">
        <v>35353.046821440512</v>
      </c>
      <c r="T42" s="278">
        <v>3238.3999999999996</v>
      </c>
      <c r="U42" s="278">
        <v>36005.589239936409</v>
      </c>
    </row>
    <row r="43" spans="1:21" x14ac:dyDescent="0.3">
      <c r="A43" s="291"/>
      <c r="B43" s="295"/>
      <c r="C43" s="294"/>
      <c r="D43" s="293"/>
      <c r="E43" s="292"/>
      <c r="F43" s="286"/>
      <c r="G43" s="286"/>
      <c r="H43" s="286"/>
      <c r="I43" s="286"/>
      <c r="J43" s="285"/>
      <c r="K43" s="279" t="s">
        <v>127</v>
      </c>
      <c r="L43" s="278">
        <v>3455.0000000000005</v>
      </c>
      <c r="M43" s="278">
        <v>16160.4885608395</v>
      </c>
      <c r="N43" s="278">
        <v>3800.5000000000009</v>
      </c>
      <c r="O43" s="278">
        <v>15595.721623642239</v>
      </c>
      <c r="P43" s="278">
        <v>4146</v>
      </c>
      <c r="Q43" s="278">
        <v>15030.954686444977</v>
      </c>
      <c r="R43" s="278">
        <v>3109.5000000000005</v>
      </c>
      <c r="S43" s="278">
        <v>16725.255498036764</v>
      </c>
      <c r="T43" s="278">
        <v>2764</v>
      </c>
      <c r="U43" s="278">
        <v>17290.022435234026</v>
      </c>
    </row>
    <row r="44" spans="1:21" x14ac:dyDescent="0.3">
      <c r="A44" s="291"/>
      <c r="B44" s="290"/>
      <c r="C44" s="289"/>
      <c r="D44" s="288"/>
      <c r="E44" s="287"/>
      <c r="F44" s="286"/>
      <c r="G44" s="286"/>
      <c r="H44" s="286"/>
      <c r="I44" s="286"/>
      <c r="J44" s="285"/>
      <c r="K44" s="279" t="s">
        <v>128</v>
      </c>
      <c r="L44" s="278">
        <v>4048.0000000000005</v>
      </c>
      <c r="M44" s="278">
        <v>4449084.5659468174</v>
      </c>
      <c r="N44" s="278">
        <v>4452.8000000000011</v>
      </c>
      <c r="O44" s="278">
        <v>4788253.116210483</v>
      </c>
      <c r="P44" s="278">
        <v>4857.5999999999995</v>
      </c>
      <c r="Q44" s="278">
        <v>5127421.6664741458</v>
      </c>
      <c r="R44" s="278">
        <v>3643.2000000000007</v>
      </c>
      <c r="S44" s="278">
        <v>4109916.0156831527</v>
      </c>
      <c r="T44" s="278">
        <v>3238.3999999999996</v>
      </c>
      <c r="U44" s="278">
        <v>3770747.4654194848</v>
      </c>
    </row>
    <row r="45" spans="1:21" x14ac:dyDescent="0.3">
      <c r="A45" s="284"/>
      <c r="B45" s="283"/>
      <c r="C45" s="283"/>
      <c r="D45" s="283" t="s">
        <v>129</v>
      </c>
      <c r="E45" s="282">
        <v>0</v>
      </c>
      <c r="F45" s="281"/>
      <c r="G45" s="281"/>
      <c r="H45" s="281"/>
      <c r="I45" s="281"/>
      <c r="J45" s="280"/>
      <c r="K45" s="279" t="s">
        <v>130</v>
      </c>
      <c r="L45" s="278">
        <v>3455.0000000000005</v>
      </c>
      <c r="M45" s="278">
        <v>3350045.377762516</v>
      </c>
      <c r="N45" s="278">
        <v>3800.5000000000009</v>
      </c>
      <c r="O45" s="278">
        <v>3635979.7919241325</v>
      </c>
      <c r="P45" s="278">
        <v>4146</v>
      </c>
      <c r="Q45" s="278">
        <v>3921914.206085748</v>
      </c>
      <c r="R45" s="278">
        <v>3109.5000000000005</v>
      </c>
      <c r="S45" s="278">
        <v>3064110.9636009</v>
      </c>
      <c r="T45" s="278">
        <v>2764</v>
      </c>
      <c r="U45" s="278">
        <v>2778176.5494392826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J9">
    <cfRule type="cellIs" dxfId="7" priority="4" stopIfTrue="1" operator="greaterThanOrEqual">
      <formula>#REF!</formula>
    </cfRule>
  </conditionalFormatting>
  <conditionalFormatting sqref="J10">
    <cfRule type="cellIs" dxfId="6" priority="3" stopIfTrue="1" operator="greaterThanOrEqual">
      <formula>#REF!</formula>
    </cfRule>
  </conditionalFormatting>
  <conditionalFormatting sqref="H9">
    <cfRule type="cellIs" dxfId="5" priority="2" stopIfTrue="1" operator="greaterThanOrEqual">
      <formula>#REF!</formula>
    </cfRule>
  </conditionalFormatting>
  <conditionalFormatting sqref="F4:J4">
    <cfRule type="containsText" dxfId="4" priority="1" stopIfTrue="1" operator="containsText" text="PEAK DAY">
      <formula>NOT(ISERROR(SEARCH("PEAK DAY",F4)))</formula>
    </cfRule>
  </conditionalFormatting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TGT Plan</vt:lpstr>
      <vt:lpstr>Co-owned storage</vt:lpstr>
      <vt:lpstr>Texas Gas Zone 2, KY 16-17</vt:lpstr>
      <vt:lpstr>Texas Gas Zn 3 South, KY 16-17</vt:lpstr>
      <vt:lpstr>Texas Gas Zn 3 North, KY 16-17</vt:lpstr>
      <vt:lpstr>Texas Gas Zone 4, KY 16-17</vt:lpstr>
      <vt:lpstr>Texas Gas Zone 2, KY 17-18</vt:lpstr>
      <vt:lpstr>Texas Gas Zn 3 North, KY 17-18</vt:lpstr>
      <vt:lpstr>Texas Gas Zn 3 South, KY 17-18</vt:lpstr>
      <vt:lpstr>Texas Gas Zone 4, KY 17-18</vt:lpstr>
      <vt:lpstr>forecast</vt:lpstr>
      <vt:lpstr>Sheet5</vt:lpstr>
      <vt:lpstr>'Co-owned storage'!Print_Area</vt:lpstr>
      <vt:lpstr>'TGT Plan'!Print_Area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</dc:creator>
  <cp:lastModifiedBy>Becky M Buchanan</cp:lastModifiedBy>
  <cp:lastPrinted>2017-07-25T20:50:07Z</cp:lastPrinted>
  <dcterms:created xsi:type="dcterms:W3CDTF">1999-08-29T23:56:55Z</dcterms:created>
  <dcterms:modified xsi:type="dcterms:W3CDTF">2017-08-03T19:09:22Z</dcterms:modified>
</cp:coreProperties>
</file>