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95" activeTab="0"/>
  </bookViews>
  <sheets>
    <sheet name="Schedule 3a" sheetId="1" r:id="rId1"/>
    <sheet name="Schedule 3b" sheetId="2" r:id="rId2"/>
  </sheets>
  <definedNames>
    <definedName name="_xlnm.Print_Titles" localSheetId="0">'Schedule 3a'!$A:$B</definedName>
  </definedNames>
  <calcPr fullCalcOnLoad="1"/>
</workbook>
</file>

<file path=xl/sharedStrings.xml><?xml version="1.0" encoding="utf-8"?>
<sst xmlns="http://schemas.openxmlformats.org/spreadsheetml/2006/main" count="69" uniqueCount="34">
  <si>
    <t>Atmos Energy Corporation</t>
  </si>
  <si>
    <t>Calculation of Average Capital Structure</t>
  </si>
  <si>
    <t>12 months ended December</t>
  </si>
  <si>
    <t>Long Term Debt</t>
  </si>
  <si>
    <t>Short Term Debt</t>
  </si>
  <si>
    <t>Common Equity</t>
  </si>
  <si>
    <t>Total Capitalization</t>
  </si>
  <si>
    <t xml:space="preserve">Amount </t>
  </si>
  <si>
    <t>Ratio</t>
  </si>
  <si>
    <t>Schedule 3a</t>
  </si>
  <si>
    <t>Schedule 3b</t>
  </si>
  <si>
    <t>Line No.</t>
  </si>
  <si>
    <t xml:space="preserve">Line No. </t>
  </si>
  <si>
    <t>Item</t>
  </si>
  <si>
    <t>Total Capital</t>
  </si>
  <si>
    <t>Long-Term Debt</t>
  </si>
  <si>
    <t>Short-Term Debt</t>
  </si>
  <si>
    <t>Preferred Stock</t>
  </si>
  <si>
    <t>Common Stock</t>
  </si>
  <si>
    <t>Retained Earnings</t>
  </si>
  <si>
    <t>Total Common Equity</t>
  </si>
  <si>
    <t>Total</t>
  </si>
  <si>
    <t>Average Balance(L14/13)</t>
  </si>
  <si>
    <t>Average Capitalization Ratios</t>
  </si>
  <si>
    <t>End-of-period Capitalization Ratios</t>
  </si>
  <si>
    <t>Including Short Term Debt</t>
  </si>
  <si>
    <t>Including Short Term Debt As Daily Average</t>
  </si>
  <si>
    <t xml:space="preserve">Long Term and Equity balances are ending balances (10Q). Short Term Debt is daily average as of December.  </t>
  </si>
  <si>
    <t xml:space="preserve">Long Term and Equity balances are ending balances (10Q). Short Term Debt is the daily average of the year.   </t>
  </si>
  <si>
    <t>$MM</t>
  </si>
  <si>
    <t>Accumulated Other Comprehensive Income</t>
  </si>
  <si>
    <t xml:space="preserve">  Balance as of December 31, 2015</t>
  </si>
  <si>
    <t>12 months ended December 31, 2016</t>
  </si>
  <si>
    <t>Case No. 2017-00349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</si>
</sst>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"/>
    <numFmt numFmtId="169" formatCode="[$-409]dddd\,\ mmmm\ dd\,\ yyyy"/>
    <numFmt numFmtId="170" formatCode="[$-409]mmmm\-yy;@"/>
    <numFmt numFmtId="171" formatCode="_(* #,##0.000_);_(* \(#,##0.000\);_(* &quot;-&quot;??_);_(@_)"/>
    <numFmt numFmtId="172" formatCode="_(* #,##0.0_);_(* \(#,##0.0\);_(* &quot;-&quot;?_);_(@_)"/>
    <numFmt numFmtId="173" formatCode="_(&quot;$&quot;* #,##0_);_(&quot;$&quot;* \(#,##0\);_(&quot;$&quot;* &quot;-&quot;??_);_(@_)"/>
    <numFmt numFmtId="174" formatCode="0.000%"/>
    <numFmt numFmtId="175" formatCode="[$-409]mmm\-yy;@"/>
    <numFmt numFmtId="176" formatCode="mm/dd/yy;@"/>
    <numFmt numFmtId="177" formatCode="mm/dd/yy"/>
    <numFmt numFmtId="178" formatCode="0.0000000000%"/>
    <numFmt numFmtId="179" formatCode="0.000000%"/>
    <numFmt numFmtId="180" formatCode="0.0000%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"/>
    <numFmt numFmtId="187" formatCode="0000"/>
    <numFmt numFmtId="188" formatCode="00000"/>
    <numFmt numFmtId="189" formatCode="000000"/>
    <numFmt numFmtId="190" formatCode="0.00000%"/>
    <numFmt numFmtId="191" formatCode="0.0000000%"/>
    <numFmt numFmtId="192" formatCode="0.000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Tms Rmn"/>
      <family val="0"/>
    </font>
    <font>
      <b/>
      <sz val="11"/>
      <color indexed="12"/>
      <name val="Arial"/>
      <family val="2"/>
    </font>
    <font>
      <u val="single"/>
      <sz val="11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2"/>
      <name val="Arial"/>
      <family val="2"/>
    </font>
    <font>
      <b/>
      <sz val="10"/>
      <color indexed="8"/>
      <name val="Arial"/>
      <family val="2"/>
    </font>
    <font>
      <sz val="7"/>
      <name val="Small Fonts"/>
      <family val="2"/>
    </font>
    <font>
      <sz val="10"/>
      <name val="Times New Roman"/>
      <family val="1"/>
    </font>
    <font>
      <sz val="11"/>
      <color indexed="8"/>
      <name val="MS Serif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8" fillId="29" borderId="0">
      <alignment horizontal="left"/>
      <protection/>
    </xf>
    <xf numFmtId="0" fontId="9" fillId="29" borderId="0">
      <alignment horizontal="right"/>
      <protection/>
    </xf>
    <xf numFmtId="0" fontId="10" fillId="30" borderId="0">
      <alignment horizontal="center"/>
      <protection/>
    </xf>
    <xf numFmtId="0" fontId="9" fillId="29" borderId="0">
      <alignment horizontal="right"/>
      <protection/>
    </xf>
    <xf numFmtId="0" fontId="11" fillId="3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5" fillId="0" borderId="0">
      <alignment horizontal="left" vertical="center" inden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2" borderId="1" applyNumberFormat="0" applyAlignment="0" applyProtection="0"/>
    <xf numFmtId="0" fontId="8" fillId="29" borderId="0">
      <alignment horizontal="left"/>
      <protection/>
    </xf>
    <xf numFmtId="0" fontId="13" fillId="30" borderId="0">
      <alignment horizontal="left"/>
      <protection/>
    </xf>
    <xf numFmtId="0" fontId="51" fillId="0" borderId="8" applyNumberFormat="0" applyFill="0" applyAlignment="0" applyProtection="0"/>
    <xf numFmtId="0" fontId="52" fillId="33" borderId="0" applyNumberFormat="0" applyBorder="0" applyAlignment="0" applyProtection="0"/>
    <xf numFmtId="37" fontId="14" fillId="0" borderId="0">
      <alignment/>
      <protection/>
    </xf>
    <xf numFmtId="178" fontId="1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4" borderId="9" applyNumberFormat="0" applyFont="0" applyAlignment="0" applyProtection="0"/>
    <xf numFmtId="0" fontId="53" fillId="27" borderId="10" applyNumberFormat="0" applyAlignment="0" applyProtection="0"/>
    <xf numFmtId="40" fontId="16" fillId="30" borderId="0">
      <alignment horizontal="right"/>
      <protection/>
    </xf>
    <xf numFmtId="0" fontId="17" fillId="30" borderId="0">
      <alignment horizontal="right"/>
      <protection/>
    </xf>
    <xf numFmtId="0" fontId="18" fillId="30" borderId="11">
      <alignment/>
      <protection/>
    </xf>
    <xf numFmtId="0" fontId="18" fillId="0" borderId="0" applyBorder="0">
      <alignment horizontal="centerContinuous"/>
      <protection/>
    </xf>
    <xf numFmtId="0" fontId="19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3" fillId="35" borderId="0">
      <alignment horizontal="center"/>
      <protection/>
    </xf>
    <xf numFmtId="49" fontId="20" fillId="30" borderId="0">
      <alignment horizontal="center"/>
      <protection/>
    </xf>
    <xf numFmtId="0" fontId="9" fillId="29" borderId="0">
      <alignment horizontal="center"/>
      <protection/>
    </xf>
    <xf numFmtId="0" fontId="9" fillId="29" borderId="0">
      <alignment horizontal="centerContinuous"/>
      <protection/>
    </xf>
    <xf numFmtId="0" fontId="21" fillId="30" borderId="0">
      <alignment horizontal="left"/>
      <protection/>
    </xf>
    <xf numFmtId="49" fontId="21" fillId="30" borderId="0">
      <alignment horizontal="center"/>
      <protection/>
    </xf>
    <xf numFmtId="0" fontId="8" fillId="29" borderId="0">
      <alignment horizontal="left"/>
      <protection/>
    </xf>
    <xf numFmtId="49" fontId="21" fillId="30" borderId="0">
      <alignment horizontal="left"/>
      <protection/>
    </xf>
    <xf numFmtId="0" fontId="8" fillId="29" borderId="0">
      <alignment horizontal="centerContinuous"/>
      <protection/>
    </xf>
    <xf numFmtId="0" fontId="8" fillId="29" borderId="0">
      <alignment horizontal="right"/>
      <protection/>
    </xf>
    <xf numFmtId="49" fontId="13" fillId="30" borderId="0">
      <alignment horizontal="left"/>
      <protection/>
    </xf>
    <xf numFmtId="0" fontId="9" fillId="29" borderId="0">
      <alignment horizontal="right"/>
      <protection/>
    </xf>
    <xf numFmtId="0" fontId="21" fillId="36" borderId="0">
      <alignment horizontal="center"/>
      <protection/>
    </xf>
    <xf numFmtId="0" fontId="7" fillId="36" borderId="0">
      <alignment horizontal="center"/>
      <protection/>
    </xf>
    <xf numFmtId="0" fontId="54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22" fillId="30" borderId="0">
      <alignment horizontal="center"/>
      <protection/>
    </xf>
    <xf numFmtId="0" fontId="5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165" fontId="0" fillId="0" borderId="0" xfId="61" applyNumberFormat="1" applyFont="1" applyAlignment="1">
      <alignment/>
    </xf>
    <xf numFmtId="167" fontId="0" fillId="0" borderId="0" xfId="156" applyNumberFormat="1" applyFont="1" applyAlignment="1">
      <alignment/>
    </xf>
    <xf numFmtId="165" fontId="0" fillId="0" borderId="0" xfId="48" applyNumberFormat="1" applyFont="1" applyFill="1" applyAlignment="1">
      <alignment/>
    </xf>
    <xf numFmtId="167" fontId="2" fillId="0" borderId="0" xfId="153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165" fontId="0" fillId="0" borderId="0" xfId="61" applyNumberFormat="1" applyFont="1" applyFill="1" applyAlignment="1">
      <alignment/>
    </xf>
    <xf numFmtId="165" fontId="0" fillId="0" borderId="0" xfId="61" applyNumberFormat="1" applyFont="1" applyFill="1" applyAlignment="1">
      <alignment/>
    </xf>
    <xf numFmtId="167" fontId="2" fillId="0" borderId="0" xfId="156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6" fontId="3" fillId="0" borderId="0" xfId="51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Font="1" applyFill="1" applyAlignment="1">
      <alignment/>
    </xf>
    <xf numFmtId="166" fontId="0" fillId="0" borderId="0" xfId="48" applyNumberFormat="1" applyFont="1" applyFill="1" applyAlignment="1">
      <alignment/>
    </xf>
    <xf numFmtId="165" fontId="0" fillId="0" borderId="0" xfId="61" applyNumberFormat="1" applyFont="1" applyFill="1" applyAlignment="1">
      <alignment/>
    </xf>
    <xf numFmtId="165" fontId="0" fillId="0" borderId="0" xfId="0" applyNumberFormat="1" applyFill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lumnAttributeAbovePrompt" xfId="43"/>
    <cellStyle name="ColumnAttributePrompt" xfId="44"/>
    <cellStyle name="ColumnAttributeValue" xfId="45"/>
    <cellStyle name="ColumnHeadingPrompt" xfId="46"/>
    <cellStyle name="ColumnHeadingValue" xfId="47"/>
    <cellStyle name="Comma" xfId="48"/>
    <cellStyle name="Comma [0]" xfId="49"/>
    <cellStyle name="Comma 10" xfId="50"/>
    <cellStyle name="Comma 11" xfId="51"/>
    <cellStyle name="Comma 11 2" xfId="52"/>
    <cellStyle name="Comma 12" xfId="53"/>
    <cellStyle name="Comma 13" xfId="54"/>
    <cellStyle name="Comma 14" xfId="55"/>
    <cellStyle name="Comma 15" xfId="56"/>
    <cellStyle name="Comma 16" xfId="57"/>
    <cellStyle name="Comma 17" xfId="58"/>
    <cellStyle name="Comma 18" xfId="59"/>
    <cellStyle name="Comma 19" xfId="60"/>
    <cellStyle name="Comma 2" xfId="61"/>
    <cellStyle name="Comma 2 2" xfId="62"/>
    <cellStyle name="Comma 20" xfId="63"/>
    <cellStyle name="Comma 3" xfId="64"/>
    <cellStyle name="Comma 3 2" xfId="65"/>
    <cellStyle name="Comma 4" xfId="66"/>
    <cellStyle name="Comma 5" xfId="67"/>
    <cellStyle name="Comma 6" xfId="68"/>
    <cellStyle name="Comma 7" xfId="69"/>
    <cellStyle name="Comma 8" xfId="70"/>
    <cellStyle name="Comma 9" xfId="71"/>
    <cellStyle name="ContentsHyperlink" xfId="72"/>
    <cellStyle name="Currency" xfId="73"/>
    <cellStyle name="Currency [0]" xfId="74"/>
    <cellStyle name="Currency 2" xfId="75"/>
    <cellStyle name="Currency 2 2" xfId="76"/>
    <cellStyle name="Currency 3" xfId="77"/>
    <cellStyle name="Currency 3 2" xfId="78"/>
    <cellStyle name="Currency 4" xfId="79"/>
    <cellStyle name="Currency 4 2" xfId="80"/>
    <cellStyle name="Currency 5" xfId="81"/>
    <cellStyle name="Currency 6" xfId="82"/>
    <cellStyle name="Currency 6 2" xfId="83"/>
    <cellStyle name="Explanatory Text" xfId="84"/>
    <cellStyle name="Good" xfId="85"/>
    <cellStyle name="Header1" xfId="86"/>
    <cellStyle name="Header2" xfId="87"/>
    <cellStyle name="Heading 1" xfId="88"/>
    <cellStyle name="Heading 2" xfId="89"/>
    <cellStyle name="Heading 3" xfId="90"/>
    <cellStyle name="Heading 4" xfId="91"/>
    <cellStyle name="Hyperlink" xfId="92"/>
    <cellStyle name="Input" xfId="93"/>
    <cellStyle name="LineItemPrompt" xfId="94"/>
    <cellStyle name="LineItemValue" xfId="95"/>
    <cellStyle name="Linked Cell" xfId="96"/>
    <cellStyle name="Neutral" xfId="97"/>
    <cellStyle name="no dec" xfId="98"/>
    <cellStyle name="Normal - Style1" xfId="99"/>
    <cellStyle name="Normal 10" xfId="100"/>
    <cellStyle name="Normal 11" xfId="101"/>
    <cellStyle name="Normal 12" xfId="102"/>
    <cellStyle name="Normal 13" xfId="103"/>
    <cellStyle name="Normal 14" xfId="104"/>
    <cellStyle name="Normal 15" xfId="105"/>
    <cellStyle name="Normal 16" xfId="106"/>
    <cellStyle name="Normal 17" xfId="107"/>
    <cellStyle name="Normal 18" xfId="108"/>
    <cellStyle name="Normal 19" xfId="109"/>
    <cellStyle name="Normal 2" xfId="110"/>
    <cellStyle name="Normal 20" xfId="111"/>
    <cellStyle name="Normal 21" xfId="112"/>
    <cellStyle name="Normal 22" xfId="113"/>
    <cellStyle name="Normal 23" xfId="114"/>
    <cellStyle name="Normal 24" xfId="115"/>
    <cellStyle name="Normal 25" xfId="116"/>
    <cellStyle name="Normal 26" xfId="117"/>
    <cellStyle name="Normal 27" xfId="118"/>
    <cellStyle name="Normal 28" xfId="119"/>
    <cellStyle name="Normal 29" xfId="120"/>
    <cellStyle name="Normal 29 2" xfId="121"/>
    <cellStyle name="Normal 3" xfId="122"/>
    <cellStyle name="Normal 3 2" xfId="123"/>
    <cellStyle name="Normal 30" xfId="124"/>
    <cellStyle name="Normal 31" xfId="125"/>
    <cellStyle name="Normal 32" xfId="126"/>
    <cellStyle name="Normal 33" xfId="127"/>
    <cellStyle name="Normal 34" xfId="128"/>
    <cellStyle name="Normal 35" xfId="129"/>
    <cellStyle name="Normal 36" xfId="130"/>
    <cellStyle name="Normal 37" xfId="131"/>
    <cellStyle name="Normal 38" xfId="132"/>
    <cellStyle name="Normal 39" xfId="133"/>
    <cellStyle name="Normal 4" xfId="134"/>
    <cellStyle name="Normal 40" xfId="135"/>
    <cellStyle name="Normal 41" xfId="136"/>
    <cellStyle name="Normal 42" xfId="137"/>
    <cellStyle name="Normal 43" xfId="138"/>
    <cellStyle name="Normal 5" xfId="139"/>
    <cellStyle name="Normal 5 2" xfId="140"/>
    <cellStyle name="Normal 6" xfId="141"/>
    <cellStyle name="Normal 6 2" xfId="142"/>
    <cellStyle name="Normal 7" xfId="143"/>
    <cellStyle name="Normal 8" xfId="144"/>
    <cellStyle name="Normal 9" xfId="145"/>
    <cellStyle name="Note" xfId="146"/>
    <cellStyle name="Output" xfId="147"/>
    <cellStyle name="Output Amounts" xfId="148"/>
    <cellStyle name="Output Column Headings" xfId="149"/>
    <cellStyle name="Output Line Items" xfId="150"/>
    <cellStyle name="Output Report Heading" xfId="151"/>
    <cellStyle name="Output Report Title" xfId="152"/>
    <cellStyle name="Percent" xfId="153"/>
    <cellStyle name="Percent 10" xfId="154"/>
    <cellStyle name="Percent 11" xfId="155"/>
    <cellStyle name="Percent 2" xfId="156"/>
    <cellStyle name="Percent 2 2" xfId="157"/>
    <cellStyle name="Percent 3" xfId="158"/>
    <cellStyle name="Percent 3 2" xfId="159"/>
    <cellStyle name="Percent 4" xfId="160"/>
    <cellStyle name="Percent 4 2" xfId="161"/>
    <cellStyle name="Percent 5" xfId="162"/>
    <cellStyle name="Percent 6" xfId="163"/>
    <cellStyle name="Percent 7" xfId="164"/>
    <cellStyle name="Percent 8" xfId="165"/>
    <cellStyle name="Percent 9" xfId="166"/>
    <cellStyle name="ReportTitlePrompt" xfId="167"/>
    <cellStyle name="ReportTitleValue" xfId="168"/>
    <cellStyle name="RowAcctAbovePrompt" xfId="169"/>
    <cellStyle name="RowAcctSOBAbovePrompt" xfId="170"/>
    <cellStyle name="RowAcctSOBValue" xfId="171"/>
    <cellStyle name="RowAcctValue" xfId="172"/>
    <cellStyle name="RowAttrAbovePrompt" xfId="173"/>
    <cellStyle name="RowAttrValue" xfId="174"/>
    <cellStyle name="RowColSetAbovePrompt" xfId="175"/>
    <cellStyle name="RowColSetLeftPrompt" xfId="176"/>
    <cellStyle name="RowColSetValue" xfId="177"/>
    <cellStyle name="RowLeftPrompt" xfId="178"/>
    <cellStyle name="SampleUsingFormatMask" xfId="179"/>
    <cellStyle name="SampleWithNoFormatMask" xfId="180"/>
    <cellStyle name="Title" xfId="181"/>
    <cellStyle name="Total" xfId="182"/>
    <cellStyle name="UploadThisRowValue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5.00390625" style="0" bestFit="1" customWidth="1"/>
    <col min="2" max="2" width="95.7109375" style="0" customWidth="1"/>
    <col min="3" max="3" width="9.7109375" style="0" customWidth="1"/>
    <col min="4" max="6" width="9.8515625" style="0" customWidth="1"/>
    <col min="7" max="8" width="8.28125" style="0" customWidth="1"/>
    <col min="9" max="9" width="11.8515625" style="0" customWidth="1"/>
    <col min="10" max="10" width="8.28125" style="0" customWidth="1"/>
    <col min="11" max="30" width="10.140625" style="0" customWidth="1"/>
  </cols>
  <sheetData>
    <row r="1" spans="2:30" ht="12.7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2:30" ht="12.75">
      <c r="B2" s="32" t="s">
        <v>33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2:30" ht="12.75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2:30" ht="12.75">
      <c r="B4" s="31" t="s">
        <v>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2:30" ht="12.75">
      <c r="B5" s="31" t="s">
        <v>29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2:30" ht="12.75">
      <c r="B6" s="1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3:30" ht="12.75">
      <c r="C7" s="30">
        <v>42735</v>
      </c>
      <c r="D7" s="30"/>
      <c r="E7" s="30">
        <v>42369</v>
      </c>
      <c r="F7" s="30"/>
      <c r="G7" s="30">
        <v>42004</v>
      </c>
      <c r="H7" s="30"/>
      <c r="I7" s="30">
        <v>41639</v>
      </c>
      <c r="J7" s="30"/>
      <c r="K7" s="30">
        <v>41274</v>
      </c>
      <c r="L7" s="30"/>
      <c r="M7" s="30">
        <v>40908</v>
      </c>
      <c r="N7" s="30"/>
      <c r="O7" s="30">
        <v>40543</v>
      </c>
      <c r="P7" s="30"/>
      <c r="Q7" s="30">
        <v>40178</v>
      </c>
      <c r="R7" s="30"/>
      <c r="S7" s="30">
        <v>39813</v>
      </c>
      <c r="T7" s="30"/>
      <c r="U7" s="30">
        <v>39447</v>
      </c>
      <c r="V7" s="30"/>
      <c r="W7" s="30">
        <v>39082</v>
      </c>
      <c r="X7" s="30"/>
      <c r="Y7" s="30">
        <v>38717</v>
      </c>
      <c r="Z7" s="30"/>
      <c r="AA7" s="30">
        <v>38352</v>
      </c>
      <c r="AB7" s="30"/>
      <c r="AC7" s="30">
        <v>37986</v>
      </c>
      <c r="AD7" s="30"/>
    </row>
    <row r="8" spans="1:30" ht="25.5">
      <c r="A8" s="20" t="s">
        <v>12</v>
      </c>
      <c r="B8" s="21" t="s">
        <v>13</v>
      </c>
      <c r="C8" s="21" t="s">
        <v>7</v>
      </c>
      <c r="D8" s="21" t="s">
        <v>8</v>
      </c>
      <c r="E8" s="21" t="s">
        <v>7</v>
      </c>
      <c r="F8" s="21" t="s">
        <v>8</v>
      </c>
      <c r="G8" s="21" t="s">
        <v>7</v>
      </c>
      <c r="H8" s="21" t="s">
        <v>8</v>
      </c>
      <c r="I8" s="21" t="s">
        <v>7</v>
      </c>
      <c r="J8" s="21" t="s">
        <v>8</v>
      </c>
      <c r="K8" s="21" t="s">
        <v>7</v>
      </c>
      <c r="L8" s="21" t="s">
        <v>8</v>
      </c>
      <c r="M8" s="21" t="s">
        <v>7</v>
      </c>
      <c r="N8" s="21" t="s">
        <v>8</v>
      </c>
      <c r="O8" s="21" t="s">
        <v>7</v>
      </c>
      <c r="P8" s="21" t="s">
        <v>8</v>
      </c>
      <c r="Q8" s="21" t="s">
        <v>7</v>
      </c>
      <c r="R8" s="21" t="s">
        <v>8</v>
      </c>
      <c r="S8" s="21" t="s">
        <v>7</v>
      </c>
      <c r="T8" s="21" t="s">
        <v>8</v>
      </c>
      <c r="U8" s="21" t="s">
        <v>7</v>
      </c>
      <c r="V8" s="21" t="s">
        <v>8</v>
      </c>
      <c r="W8" s="21" t="s">
        <v>7</v>
      </c>
      <c r="X8" s="21" t="s">
        <v>8</v>
      </c>
      <c r="Y8" s="21" t="s">
        <v>7</v>
      </c>
      <c r="Z8" s="21" t="s">
        <v>8</v>
      </c>
      <c r="AA8" s="21" t="s">
        <v>7</v>
      </c>
      <c r="AB8" s="21" t="s">
        <v>8</v>
      </c>
      <c r="AC8" s="21" t="s">
        <v>7</v>
      </c>
      <c r="AD8" s="21" t="s">
        <v>8</v>
      </c>
    </row>
    <row r="9" spans="1:30" ht="12.75">
      <c r="A9" s="3"/>
      <c r="B9" s="1" t="s">
        <v>25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2.75">
      <c r="A10">
        <v>1</v>
      </c>
      <c r="B10" t="s">
        <v>3</v>
      </c>
      <c r="C10" s="25">
        <f>2564199396.08/1000000</f>
        <v>2564.19939608</v>
      </c>
      <c r="D10" s="10">
        <f>C10/C$13</f>
        <v>0.3559449557063935</v>
      </c>
      <c r="E10" s="24">
        <f>2455473706.92/1000000</f>
        <v>2455.47370692</v>
      </c>
      <c r="F10" s="10">
        <f>E10/E$13</f>
        <v>0.37829952024880453</v>
      </c>
      <c r="G10" s="9">
        <f>2455131423.6/1000000</f>
        <v>2455.1314236</v>
      </c>
      <c r="H10" s="10">
        <f>G10/G$13</f>
        <v>0.40447251635904546</v>
      </c>
      <c r="I10" s="9">
        <f>2455750015.3/1000000</f>
        <v>2455.7500153</v>
      </c>
      <c r="J10" s="10">
        <f>I10/I$13</f>
        <v>0.4280698117311089</v>
      </c>
      <c r="K10" s="9">
        <f>(1956376+131)/1000</f>
        <v>1956.507</v>
      </c>
      <c r="L10" s="10">
        <f>K10/K$13</f>
        <v>0.38238113637443005</v>
      </c>
      <c r="M10" s="9">
        <f>(2206193+131)/1000</f>
        <v>2206.324</v>
      </c>
      <c r="N10" s="10">
        <f>M10/M$13</f>
        <v>0.4575792386593114</v>
      </c>
      <c r="O10" s="9">
        <f>(1807319+352434)/1000</f>
        <v>2159.753</v>
      </c>
      <c r="P10" s="10">
        <f>O10/O$13</f>
        <v>0.4636081770945358</v>
      </c>
      <c r="Q10" s="9">
        <f>(2159470+10131)/1000</f>
        <v>2169.601</v>
      </c>
      <c r="R10" s="10">
        <f>Q10/Q$13</f>
        <v>0.4751197324824863</v>
      </c>
      <c r="S10" s="7">
        <v>2120.4</v>
      </c>
      <c r="T10" s="16">
        <f>S10/S$13</f>
        <v>0.46157101323588184</v>
      </c>
      <c r="U10" s="7">
        <v>2128.5</v>
      </c>
      <c r="V10" s="16">
        <f>U10/U$13</f>
        <v>0.4907544037627963</v>
      </c>
      <c r="W10" s="7">
        <v>2181.9</v>
      </c>
      <c r="X10" s="16">
        <f>W10/W$13</f>
        <v>0.5024525043177893</v>
      </c>
      <c r="Y10" s="7">
        <v>2184.8</v>
      </c>
      <c r="Z10" s="16">
        <f>Y10/Y$13</f>
        <v>0.5294881622509936</v>
      </c>
      <c r="AA10" s="7">
        <v>2261</v>
      </c>
      <c r="AB10" s="16">
        <f>AA10/AA$13</f>
        <v>0.5926139490996777</v>
      </c>
      <c r="AC10" s="7">
        <v>867.9</v>
      </c>
      <c r="AD10" s="16">
        <f>AC10/AC$13</f>
        <v>0.4518900343642612</v>
      </c>
    </row>
    <row r="11" spans="1:30" ht="12.75">
      <c r="A11">
        <v>2</v>
      </c>
      <c r="B11" t="s">
        <v>4</v>
      </c>
      <c r="C11" s="25">
        <f>940746590.94/1000000</f>
        <v>940.74659094</v>
      </c>
      <c r="D11" s="10">
        <f>C11/C$13</f>
        <v>0.13058812982913282</v>
      </c>
      <c r="E11" s="24">
        <f>763235622.06/1000000</f>
        <v>763.23562206</v>
      </c>
      <c r="F11" s="10">
        <f>E11/E$13</f>
        <v>0.11758695230512718</v>
      </c>
      <c r="G11" s="14">
        <v>550.9029161300001</v>
      </c>
      <c r="H11" s="10">
        <f>G11/G$13</f>
        <v>0.09075892500691682</v>
      </c>
      <c r="I11" s="9">
        <f>619733870.967742/1000000</f>
        <v>619.733870967742</v>
      </c>
      <c r="J11" s="10">
        <f>I11/I$13</f>
        <v>0.10802783663472533</v>
      </c>
      <c r="K11" s="9">
        <f>736129/1000</f>
        <v>736.129</v>
      </c>
      <c r="L11" s="10">
        <f>K11/K$13</f>
        <v>0.14386958162591437</v>
      </c>
      <c r="M11" s="9">
        <f>347645/1000</f>
        <v>347.645</v>
      </c>
      <c r="N11" s="10">
        <f>M11/M$13</f>
        <v>0.07209962563237145</v>
      </c>
      <c r="O11" s="9">
        <f>223968/1000</f>
        <v>223.968</v>
      </c>
      <c r="P11" s="10">
        <f>O11/O$13</f>
        <v>0.04807651440118799</v>
      </c>
      <c r="Q11" s="9">
        <f>138753/1000</f>
        <v>138.753</v>
      </c>
      <c r="R11" s="10">
        <f>Q11/Q$13</f>
        <v>0.030385443333194637</v>
      </c>
      <c r="S11" s="7">
        <v>395.4</v>
      </c>
      <c r="T11" s="16">
        <f>S11/S$13</f>
        <v>0.08607110858020546</v>
      </c>
      <c r="U11" s="7">
        <v>176.2</v>
      </c>
      <c r="V11" s="16">
        <f>U11/U$13</f>
        <v>0.04062528820437148</v>
      </c>
      <c r="W11" s="7">
        <v>240.1</v>
      </c>
      <c r="X11" s="16">
        <f>W11/W$13</f>
        <v>0.05529073114565342</v>
      </c>
      <c r="Y11" s="7">
        <v>303.849</v>
      </c>
      <c r="Z11" s="16">
        <f>Y11/Y$13</f>
        <v>0.0736380669222822</v>
      </c>
      <c r="AA11" s="7">
        <v>15.2</v>
      </c>
      <c r="AB11" s="16">
        <f>AA11/AA$13</f>
        <v>0.0039839593216785055</v>
      </c>
      <c r="AC11" s="7">
        <v>173.3</v>
      </c>
      <c r="AD11" s="16">
        <f>AC11/AC$13</f>
        <v>0.0902322190981985</v>
      </c>
    </row>
    <row r="12" spans="1:30" ht="12.75">
      <c r="A12">
        <v>3</v>
      </c>
      <c r="B12" t="s">
        <v>5</v>
      </c>
      <c r="C12" s="25">
        <f>3698975167/1000000</f>
        <v>3698.975167</v>
      </c>
      <c r="D12" s="10">
        <f>C12/C$13</f>
        <v>0.5134669144644738</v>
      </c>
      <c r="E12" s="24">
        <f>3272109653.04/1000000</f>
        <v>3272.10965304</v>
      </c>
      <c r="F12" s="10">
        <f>E12/E$13</f>
        <v>0.5041135274460682</v>
      </c>
      <c r="G12" s="9">
        <f>3063924246.58/1000000</f>
        <v>3063.92424658</v>
      </c>
      <c r="H12" s="10">
        <f>G12/G$13</f>
        <v>0.5047685586340377</v>
      </c>
      <c r="I12" s="9">
        <f>2661314056.5/1000000</f>
        <v>2661.3140565</v>
      </c>
      <c r="J12" s="10">
        <f>I12/I$13</f>
        <v>0.46390235163416577</v>
      </c>
      <c r="K12" s="9">
        <f>2424005/1000</f>
        <v>2424.005</v>
      </c>
      <c r="L12" s="10">
        <f>K12/K$13</f>
        <v>0.4737492819996557</v>
      </c>
      <c r="M12" s="9">
        <f>2267762/1000</f>
        <v>2267.762</v>
      </c>
      <c r="N12" s="10">
        <f>M12/M$13</f>
        <v>0.47032113570831724</v>
      </c>
      <c r="O12" s="9">
        <f>2274853/1000</f>
        <v>2274.853</v>
      </c>
      <c r="P12" s="10">
        <f>O12/O$13</f>
        <v>0.4883153085042762</v>
      </c>
      <c r="Q12" s="9">
        <f>2258076/1000</f>
        <v>2258.076</v>
      </c>
      <c r="R12" s="10">
        <f>Q12/Q$13</f>
        <v>0.494494824184319</v>
      </c>
      <c r="S12" s="7">
        <v>2078.076</v>
      </c>
      <c r="T12" s="16">
        <f>S12/S$13</f>
        <v>0.45235787818391265</v>
      </c>
      <c r="U12" s="7">
        <v>2032.5</v>
      </c>
      <c r="V12" s="16">
        <f>U12/U$13</f>
        <v>0.4686203080328323</v>
      </c>
      <c r="W12" s="7">
        <v>1920.5</v>
      </c>
      <c r="X12" s="16">
        <f>W12/W$13</f>
        <v>0.44225676453655727</v>
      </c>
      <c r="Y12" s="7">
        <v>1637.6</v>
      </c>
      <c r="Z12" s="16">
        <f>Y12/Y$13</f>
        <v>0.3968737708267242</v>
      </c>
      <c r="AA12" s="7">
        <v>1539.1</v>
      </c>
      <c r="AB12" s="16">
        <f>AA12/AA$13</f>
        <v>0.4034020915786439</v>
      </c>
      <c r="AC12" s="7">
        <v>879.4</v>
      </c>
      <c r="AD12" s="16">
        <f>AC12/AC$13</f>
        <v>0.4578777465375404</v>
      </c>
    </row>
    <row r="13" spans="1:30" s="2" customFormat="1" ht="12.75">
      <c r="A13" s="4">
        <v>4</v>
      </c>
      <c r="B13" s="2" t="s">
        <v>6</v>
      </c>
      <c r="C13" s="11">
        <f>SUM(C10:C12)</f>
        <v>7203.921154019999</v>
      </c>
      <c r="E13" s="11">
        <f>SUM(E10:E12)</f>
        <v>6490.8189820200005</v>
      </c>
      <c r="G13" s="11">
        <f aca="true" t="shared" si="0" ref="G13:T13">SUM(G10:G12)</f>
        <v>6069.95858631</v>
      </c>
      <c r="I13" s="11">
        <f t="shared" si="0"/>
        <v>5736.797942767742</v>
      </c>
      <c r="K13" s="11">
        <f t="shared" si="0"/>
        <v>5116.641</v>
      </c>
      <c r="L13" s="10">
        <f t="shared" si="0"/>
        <v>1</v>
      </c>
      <c r="M13" s="11">
        <f t="shared" si="0"/>
        <v>4821.731</v>
      </c>
      <c r="N13" s="10">
        <f t="shared" si="0"/>
        <v>1</v>
      </c>
      <c r="O13" s="11">
        <f t="shared" si="0"/>
        <v>4658.5740000000005</v>
      </c>
      <c r="P13" s="10">
        <f t="shared" si="0"/>
        <v>1</v>
      </c>
      <c r="Q13" s="11">
        <f t="shared" si="0"/>
        <v>4566.43</v>
      </c>
      <c r="R13" s="10">
        <f t="shared" si="0"/>
        <v>0.9999999999999999</v>
      </c>
      <c r="S13" s="17">
        <f t="shared" si="0"/>
        <v>4593.876</v>
      </c>
      <c r="T13" s="16">
        <f t="shared" si="0"/>
        <v>1</v>
      </c>
      <c r="U13" s="17">
        <f aca="true" t="shared" si="1" ref="U13:AD13">SUM(U10:U12)</f>
        <v>4337.2</v>
      </c>
      <c r="V13" s="16">
        <f t="shared" si="1"/>
        <v>1</v>
      </c>
      <c r="W13" s="17">
        <f t="shared" si="1"/>
        <v>4342.5</v>
      </c>
      <c r="X13" s="16">
        <f t="shared" si="1"/>
        <v>1</v>
      </c>
      <c r="Y13" s="17">
        <f t="shared" si="1"/>
        <v>4126.249</v>
      </c>
      <c r="Z13" s="16">
        <f t="shared" si="1"/>
        <v>1</v>
      </c>
      <c r="AA13" s="17">
        <f t="shared" si="1"/>
        <v>3815.2999999999997</v>
      </c>
      <c r="AB13" s="16">
        <f t="shared" si="1"/>
        <v>1</v>
      </c>
      <c r="AC13" s="17">
        <f t="shared" si="1"/>
        <v>1920.6</v>
      </c>
      <c r="AD13" s="16">
        <f t="shared" si="1"/>
        <v>1</v>
      </c>
    </row>
    <row r="14" spans="2:18" ht="12.75">
      <c r="B14" t="s">
        <v>27</v>
      </c>
      <c r="K14" s="12"/>
      <c r="L14" s="12"/>
      <c r="M14" s="12"/>
      <c r="N14" s="12"/>
      <c r="O14" s="12"/>
      <c r="P14" s="12"/>
      <c r="Q14" s="12"/>
      <c r="R14" s="12"/>
    </row>
    <row r="15" spans="11:18" ht="12.75">
      <c r="K15" s="12"/>
      <c r="L15" s="12"/>
      <c r="M15" s="12"/>
      <c r="N15" s="12"/>
      <c r="O15" s="12"/>
      <c r="P15" s="12"/>
      <c r="Q15" s="12"/>
      <c r="R15" s="12"/>
    </row>
    <row r="16" spans="1:30" ht="12.75">
      <c r="A16" s="3"/>
      <c r="B16" s="1" t="s">
        <v>26</v>
      </c>
      <c r="C16" s="1"/>
      <c r="D16" s="1"/>
      <c r="E16" s="1"/>
      <c r="F16" s="1"/>
      <c r="G16" s="1"/>
      <c r="H16" s="1"/>
      <c r="I16" s="1"/>
      <c r="J16" s="1"/>
      <c r="K16" s="6"/>
      <c r="L16" s="6"/>
      <c r="M16" s="6"/>
      <c r="N16" s="6"/>
      <c r="O16" s="6"/>
      <c r="P16" s="6"/>
      <c r="Q16" s="6"/>
      <c r="R16" s="6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.75">
      <c r="A17">
        <v>1</v>
      </c>
      <c r="B17" t="s">
        <v>3</v>
      </c>
      <c r="C17" s="9">
        <f>C10</f>
        <v>2564.19939608</v>
      </c>
      <c r="D17" s="10">
        <f>C17/C$20</f>
        <v>0.36789389507286313</v>
      </c>
      <c r="E17" s="9">
        <f>E10</f>
        <v>2455.47370692</v>
      </c>
      <c r="F17" s="10">
        <f>E17/E$20</f>
        <v>0.4045582388690881</v>
      </c>
      <c r="G17" s="9">
        <f>G10</f>
        <v>2455.1314236</v>
      </c>
      <c r="H17" s="10">
        <f>G17/G$20</f>
        <v>0.4271739987395209</v>
      </c>
      <c r="I17" s="9">
        <f>I10</f>
        <v>2455.7500153</v>
      </c>
      <c r="J17" s="10">
        <f>I17/I$20</f>
        <v>0.4507318185350914</v>
      </c>
      <c r="K17" s="9">
        <f>K10</f>
        <v>1956.507</v>
      </c>
      <c r="L17" s="10">
        <f>K17/K$20</f>
        <v>0.4141753959314213</v>
      </c>
      <c r="M17" s="9">
        <f>M10</f>
        <v>2206.324</v>
      </c>
      <c r="N17" s="10">
        <f>M17/M$20</f>
        <v>0.4779667170848225</v>
      </c>
      <c r="O17" s="9">
        <f>O10</f>
        <v>2159.753</v>
      </c>
      <c r="P17" s="10">
        <f>O17/O$20</f>
        <v>0.47890025717224066</v>
      </c>
      <c r="Q17" s="9">
        <f>Q10</f>
        <v>2169.601</v>
      </c>
      <c r="R17" s="10">
        <f>Q17/Q$20</f>
        <v>0.48233431381550584</v>
      </c>
      <c r="S17" s="9">
        <f>S10</f>
        <v>2120.4</v>
      </c>
      <c r="T17" s="16">
        <f>S17/S$20</f>
        <v>0.486210283884069</v>
      </c>
      <c r="U17" s="9">
        <f>U10</f>
        <v>2128.5</v>
      </c>
      <c r="V17" s="16">
        <f>U17/U$20</f>
        <v>0.5033947513558666</v>
      </c>
      <c r="W17" s="9">
        <f>W10</f>
        <v>2181.9</v>
      </c>
      <c r="X17" s="16">
        <f>W17/W$20</f>
        <v>0.5014638958175949</v>
      </c>
      <c r="Y17" s="9">
        <f>Y10</f>
        <v>2184.8</v>
      </c>
      <c r="Z17" s="16">
        <f>Y17/Y$20</f>
        <v>0.5617349196362711</v>
      </c>
      <c r="AA17" s="7">
        <v>2261</v>
      </c>
      <c r="AB17" s="16">
        <f>AA17/AA$20</f>
        <v>0.5752826416286835</v>
      </c>
      <c r="AC17" s="7">
        <v>867.9</v>
      </c>
      <c r="AD17" s="16">
        <f>AC17/AC$20</f>
        <v>0.47632088627845703</v>
      </c>
    </row>
    <row r="18" spans="1:30" ht="12.75">
      <c r="A18">
        <v>2</v>
      </c>
      <c r="B18" t="s">
        <v>4</v>
      </c>
      <c r="C18" s="24">
        <v>706.7682123285132</v>
      </c>
      <c r="D18" s="10">
        <f>C18/C$20</f>
        <v>0.10140229770926476</v>
      </c>
      <c r="E18" s="24">
        <v>341.93511971326166</v>
      </c>
      <c r="F18" s="10">
        <f>E18/E$20</f>
        <v>0.056336449235371455</v>
      </c>
      <c r="G18" s="7">
        <v>228.32462647769222</v>
      </c>
      <c r="H18" s="10">
        <f>G18/G$20</f>
        <v>0.03972673021314967</v>
      </c>
      <c r="I18" s="9">
        <f>(331297713)/1000000</f>
        <v>331.297713</v>
      </c>
      <c r="J18" s="10">
        <f>I18/I$20</f>
        <v>0.0608068491200904</v>
      </c>
      <c r="K18" s="9">
        <f>343349/1000</f>
        <v>343.349</v>
      </c>
      <c r="L18" s="10">
        <f>K18/K$20</f>
        <v>0.07268397609497823</v>
      </c>
      <c r="M18" s="9">
        <f>141976/1000</f>
        <v>141.976</v>
      </c>
      <c r="N18" s="10">
        <f>M18/M$20</f>
        <v>0.03075695257126096</v>
      </c>
      <c r="O18" s="9">
        <f>75212/1000</f>
        <v>75.212</v>
      </c>
      <c r="P18" s="10">
        <f>O18/O$20</f>
        <v>0.01667739141579549</v>
      </c>
      <c r="Q18" s="9">
        <f>70450/1000</f>
        <v>70.45</v>
      </c>
      <c r="R18" s="10">
        <f>Q18/Q$20</f>
        <v>0.015662074458991485</v>
      </c>
      <c r="S18" s="7">
        <v>162.6</v>
      </c>
      <c r="T18" s="16">
        <f>S18/S$20</f>
        <v>0.03728437660797473</v>
      </c>
      <c r="U18" s="7">
        <v>67.292</v>
      </c>
      <c r="V18" s="16">
        <f>U18/U$20</f>
        <v>0.015914700309250168</v>
      </c>
      <c r="W18" s="7">
        <v>248.661</v>
      </c>
      <c r="X18" s="16">
        <f>W18/W$20</f>
        <v>0.05714950905078095</v>
      </c>
      <c r="Y18" s="7">
        <v>66.979</v>
      </c>
      <c r="Z18" s="16">
        <f>Y18/Y$20</f>
        <v>0.017221001090405436</v>
      </c>
      <c r="AA18" s="7">
        <v>130.142</v>
      </c>
      <c r="AB18" s="16">
        <f>AA18/AA$20</f>
        <v>0.03311297370492708</v>
      </c>
      <c r="AC18" s="7">
        <v>74.791</v>
      </c>
      <c r="AD18" s="16">
        <f>AC18/AC$20</f>
        <v>0.04104679733339334</v>
      </c>
    </row>
    <row r="19" spans="1:30" ht="12.75">
      <c r="A19">
        <v>3</v>
      </c>
      <c r="B19" t="s">
        <v>5</v>
      </c>
      <c r="C19" s="9">
        <f>C12</f>
        <v>3698.975167</v>
      </c>
      <c r="D19" s="10">
        <f>C19/C$20</f>
        <v>0.530703807217872</v>
      </c>
      <c r="E19" s="9">
        <f>E12</f>
        <v>3272.10965304</v>
      </c>
      <c r="F19" s="10">
        <f>E19/E$20</f>
        <v>0.5391053118955403</v>
      </c>
      <c r="G19" s="9">
        <f>G12</f>
        <v>3063.92424658</v>
      </c>
      <c r="H19" s="10">
        <f>G19/G$20</f>
        <v>0.5330992710473296</v>
      </c>
      <c r="I19" s="9">
        <f>I12</f>
        <v>2661.3140565</v>
      </c>
      <c r="J19" s="10">
        <f>I19/I$20</f>
        <v>0.4884613323448183</v>
      </c>
      <c r="K19" s="9">
        <f>K12</f>
        <v>2424.005</v>
      </c>
      <c r="L19" s="10">
        <f>K19/K$20</f>
        <v>0.5131406279736004</v>
      </c>
      <c r="M19" s="9">
        <f>M12</f>
        <v>2267.762</v>
      </c>
      <c r="N19" s="10">
        <f>M19/M$20</f>
        <v>0.49127633034391655</v>
      </c>
      <c r="O19" s="9">
        <f>O12</f>
        <v>2274.853</v>
      </c>
      <c r="P19" s="10">
        <f>O19/O$20</f>
        <v>0.5044223514119639</v>
      </c>
      <c r="Q19" s="9">
        <f>Q12</f>
        <v>2258.076</v>
      </c>
      <c r="R19" s="10">
        <f>Q19/Q$20</f>
        <v>0.5020036117255026</v>
      </c>
      <c r="S19" s="9">
        <f>S12</f>
        <v>2078.076</v>
      </c>
      <c r="T19" s="16">
        <f>S19/S$20</f>
        <v>0.4765053395079563</v>
      </c>
      <c r="U19" s="9">
        <f>U12</f>
        <v>2032.5</v>
      </c>
      <c r="V19" s="16">
        <f>U19/U$20</f>
        <v>0.4806905483348833</v>
      </c>
      <c r="W19" s="9">
        <f>W12</f>
        <v>1920.5</v>
      </c>
      <c r="X19" s="16">
        <f>W19/W$20</f>
        <v>0.44138659513162426</v>
      </c>
      <c r="Y19" s="9">
        <f>Y12</f>
        <v>1637.6</v>
      </c>
      <c r="Z19" s="16">
        <f>Y19/Y$20</f>
        <v>0.42104407927332355</v>
      </c>
      <c r="AA19" s="9">
        <f>AA12</f>
        <v>1539.1</v>
      </c>
      <c r="AB19" s="16">
        <f>AA19/AA$20</f>
        <v>0.3916043846663895</v>
      </c>
      <c r="AC19" s="9">
        <f>AC12</f>
        <v>879.4</v>
      </c>
      <c r="AD19" s="16">
        <f>AC19/AC$20</f>
        <v>0.4826323163881497</v>
      </c>
    </row>
    <row r="20" spans="1:30" ht="12.75">
      <c r="A20" s="4">
        <v>4</v>
      </c>
      <c r="B20" s="2" t="s">
        <v>6</v>
      </c>
      <c r="C20" s="11">
        <f>SUM(C17:C19)</f>
        <v>6969.942775408514</v>
      </c>
      <c r="D20" s="2"/>
      <c r="E20" s="11">
        <f>SUM(E17:E19)</f>
        <v>6069.518479673262</v>
      </c>
      <c r="F20" s="2"/>
      <c r="G20" s="11">
        <f aca="true" t="shared" si="2" ref="G20:T20">SUM(G17:G19)</f>
        <v>5747.380296657691</v>
      </c>
      <c r="H20" s="10">
        <f>SUM(H17:H19)</f>
        <v>1</v>
      </c>
      <c r="I20" s="11">
        <f t="shared" si="2"/>
        <v>5448.361784799999</v>
      </c>
      <c r="J20" s="10">
        <f>SUM(J17:J19)</f>
        <v>1.0000000000000002</v>
      </c>
      <c r="K20" s="11">
        <f t="shared" si="2"/>
        <v>4723.861000000001</v>
      </c>
      <c r="L20" s="10">
        <f t="shared" si="2"/>
        <v>0.9999999999999999</v>
      </c>
      <c r="M20" s="11">
        <f t="shared" si="2"/>
        <v>4616.062</v>
      </c>
      <c r="N20" s="10">
        <f t="shared" si="2"/>
        <v>1</v>
      </c>
      <c r="O20" s="11">
        <f t="shared" si="2"/>
        <v>4509.818</v>
      </c>
      <c r="P20" s="10">
        <f t="shared" si="2"/>
        <v>1</v>
      </c>
      <c r="Q20" s="11">
        <f t="shared" si="2"/>
        <v>4498.127</v>
      </c>
      <c r="R20" s="10">
        <f t="shared" si="2"/>
        <v>0.9999999999999999</v>
      </c>
      <c r="S20" s="17">
        <f t="shared" si="2"/>
        <v>4361.076</v>
      </c>
      <c r="T20" s="16">
        <f t="shared" si="2"/>
        <v>1</v>
      </c>
      <c r="U20" s="17">
        <f aca="true" t="shared" si="3" ref="U20:AD20">SUM(U17:U19)</f>
        <v>4228.2919999999995</v>
      </c>
      <c r="V20" s="16">
        <f t="shared" si="3"/>
        <v>1</v>
      </c>
      <c r="W20" s="17">
        <f t="shared" si="3"/>
        <v>4351.061</v>
      </c>
      <c r="X20" s="16">
        <f t="shared" si="3"/>
        <v>1</v>
      </c>
      <c r="Y20" s="17">
        <f t="shared" si="3"/>
        <v>3889.379</v>
      </c>
      <c r="Z20" s="16">
        <f t="shared" si="3"/>
        <v>1</v>
      </c>
      <c r="AA20" s="17">
        <f t="shared" si="3"/>
        <v>3930.2419999999997</v>
      </c>
      <c r="AB20" s="16">
        <f t="shared" si="3"/>
        <v>1</v>
      </c>
      <c r="AC20" s="17">
        <f t="shared" si="3"/>
        <v>1822.091</v>
      </c>
      <c r="AD20" s="16">
        <f t="shared" si="3"/>
        <v>1</v>
      </c>
    </row>
    <row r="21" ht="12.75">
      <c r="B21" t="s">
        <v>28</v>
      </c>
    </row>
  </sheetData>
  <sheetProtection/>
  <mergeCells count="19">
    <mergeCell ref="B5:AD5"/>
    <mergeCell ref="M7:N7"/>
    <mergeCell ref="B1:AD1"/>
    <mergeCell ref="B2:AD2"/>
    <mergeCell ref="B3:AD3"/>
    <mergeCell ref="B4:AD4"/>
    <mergeCell ref="O7:P7"/>
    <mergeCell ref="S7:T7"/>
    <mergeCell ref="U7:V7"/>
    <mergeCell ref="W7:X7"/>
    <mergeCell ref="C7:D7"/>
    <mergeCell ref="E7:F7"/>
    <mergeCell ref="Y7:Z7"/>
    <mergeCell ref="AA7:AB7"/>
    <mergeCell ref="AC7:AD7"/>
    <mergeCell ref="Q7:R7"/>
    <mergeCell ref="G7:H7"/>
    <mergeCell ref="I7:J7"/>
    <mergeCell ref="K7:L7"/>
  </mergeCells>
  <printOptions/>
  <pageMargins left="0.5" right="0.5" top="1" bottom="1" header="0.25" footer="0.5"/>
  <pageSetup horizontalDpi="600" verticalDpi="600" orientation="landscape" scale="55" r:id="rId1"/>
  <headerFooter alignWithMargins="0">
    <oddHeader>&amp;R&amp;8CASE NO. 2017-00349
ATTACHMENT 1
TO STAFF DR NO. 1-03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A1" sqref="A1:J1"/>
    </sheetView>
  </sheetViews>
  <sheetFormatPr defaultColWidth="9.140625" defaultRowHeight="12.75"/>
  <cols>
    <col min="1" max="1" width="6.140625" style="0" customWidth="1"/>
    <col min="2" max="2" width="29.7109375" style="0" bestFit="1" customWidth="1"/>
    <col min="3" max="3" width="11.8515625" style="0" bestFit="1" customWidth="1"/>
    <col min="4" max="4" width="14.00390625" style="0" customWidth="1"/>
    <col min="5" max="5" width="13.7109375" style="0" customWidth="1"/>
    <col min="6" max="6" width="13.00390625" style="0" customWidth="1"/>
    <col min="7" max="7" width="16.57421875" style="0" bestFit="1" customWidth="1"/>
    <col min="8" max="8" width="15.57421875" style="0" bestFit="1" customWidth="1"/>
    <col min="9" max="9" width="15.57421875" style="0" customWidth="1"/>
    <col min="10" max="10" width="14.421875" style="0" customWidth="1"/>
    <col min="13" max="13" width="12.7109375" style="0" bestFit="1" customWidth="1"/>
    <col min="15" max="15" width="12.57421875" style="0" customWidth="1"/>
  </cols>
  <sheetData>
    <row r="1" spans="1:22" ht="12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31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31" t="s">
        <v>29</v>
      </c>
      <c r="B5" s="31"/>
      <c r="C5" s="31"/>
      <c r="D5" s="31"/>
      <c r="E5" s="31"/>
      <c r="F5" s="31"/>
      <c r="G5" s="31"/>
      <c r="H5" s="31"/>
      <c r="I5" s="31"/>
      <c r="J5" s="3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U6" s="1"/>
      <c r="V6" s="1"/>
    </row>
    <row r="7" spans="1:11" ht="12.75">
      <c r="A7" s="18" t="s">
        <v>10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>
      <c r="A8" s="22" t="s">
        <v>11</v>
      </c>
      <c r="B8" s="22" t="s">
        <v>13</v>
      </c>
      <c r="C8" s="22" t="s">
        <v>14</v>
      </c>
      <c r="D8" s="22" t="s">
        <v>15</v>
      </c>
      <c r="E8" s="22" t="s">
        <v>16</v>
      </c>
      <c r="F8" s="22" t="s">
        <v>17</v>
      </c>
      <c r="G8" s="22" t="s">
        <v>18</v>
      </c>
      <c r="H8" s="22" t="s">
        <v>19</v>
      </c>
      <c r="I8" s="22" t="s">
        <v>30</v>
      </c>
      <c r="J8" s="22" t="s">
        <v>20</v>
      </c>
      <c r="K8" s="3"/>
    </row>
    <row r="9" spans="1:14" ht="12.75">
      <c r="A9">
        <v>1</v>
      </c>
      <c r="B9" t="s">
        <v>31</v>
      </c>
      <c r="C9" s="7">
        <f>D9+E9+F9+J9</f>
        <v>6490.81898204</v>
      </c>
      <c r="D9" s="14">
        <v>2455.473707</v>
      </c>
      <c r="E9" s="14">
        <v>763.235622</v>
      </c>
      <c r="F9" s="15">
        <v>0</v>
      </c>
      <c r="G9" s="26">
        <v>2242.8172917499996</v>
      </c>
      <c r="H9" s="27">
        <v>1132.2540569500002</v>
      </c>
      <c r="I9" s="27">
        <v>-102.96169565999999</v>
      </c>
      <c r="J9" s="28">
        <f>SUM(G9:I9)</f>
        <v>3272.10965304</v>
      </c>
      <c r="M9" s="23"/>
      <c r="N9" s="24"/>
    </row>
    <row r="10" spans="1:14" ht="12.75">
      <c r="A10">
        <v>2</v>
      </c>
      <c r="B10" s="5">
        <v>42370</v>
      </c>
      <c r="C10" s="7">
        <f aca="true" t="shared" si="0" ref="C10:C21">D10+E10+F10+J10</f>
        <v>6463.245037320001</v>
      </c>
      <c r="D10" s="14">
        <v>2455.502231</v>
      </c>
      <c r="E10" s="14">
        <v>708.711351</v>
      </c>
      <c r="F10" s="15">
        <v>0</v>
      </c>
      <c r="G10" s="26">
        <v>2245.2518817700006</v>
      </c>
      <c r="H10" s="27">
        <v>1194.90150291</v>
      </c>
      <c r="I10" s="27">
        <v>-141.12192936</v>
      </c>
      <c r="J10" s="28">
        <f aca="true" t="shared" si="1" ref="J10:J21">SUM(G10:I10)</f>
        <v>3299.0314553200005</v>
      </c>
      <c r="M10" s="23"/>
      <c r="N10" s="24"/>
    </row>
    <row r="11" spans="1:14" ht="12.75">
      <c r="A11">
        <v>3</v>
      </c>
      <c r="B11" s="5">
        <v>42401</v>
      </c>
      <c r="C11" s="7">
        <f t="shared" si="0"/>
        <v>6389.056164830001</v>
      </c>
      <c r="D11" s="14">
        <v>2455.530754</v>
      </c>
      <c r="E11" s="14">
        <v>666.441027</v>
      </c>
      <c r="F11" s="15">
        <v>0</v>
      </c>
      <c r="G11" s="26">
        <v>2248.54231135</v>
      </c>
      <c r="H11" s="27">
        <v>1193.0094481100007</v>
      </c>
      <c r="I11" s="27">
        <v>-174.46737563</v>
      </c>
      <c r="J11" s="28">
        <f t="shared" si="1"/>
        <v>3267.0843838300007</v>
      </c>
      <c r="M11" s="23"/>
      <c r="N11" s="24"/>
    </row>
    <row r="12" spans="1:16" ht="14.25">
      <c r="A12">
        <v>4</v>
      </c>
      <c r="B12" s="5">
        <v>42430</v>
      </c>
      <c r="C12" s="7">
        <f t="shared" si="0"/>
        <v>6427.05285444</v>
      </c>
      <c r="D12" s="14">
        <v>2455.559278</v>
      </c>
      <c r="E12" s="14">
        <v>626.928501</v>
      </c>
      <c r="F12" s="15">
        <v>0</v>
      </c>
      <c r="G12" s="26">
        <v>2256.38646547</v>
      </c>
      <c r="H12" s="27">
        <v>1245.4179201799996</v>
      </c>
      <c r="I12" s="27">
        <v>-157.23931021</v>
      </c>
      <c r="J12" s="28">
        <f t="shared" si="1"/>
        <v>3344.56507544</v>
      </c>
      <c r="M12" s="23"/>
      <c r="N12" s="24"/>
      <c r="O12" s="19"/>
      <c r="P12" s="13"/>
    </row>
    <row r="13" spans="1:16" ht="14.25">
      <c r="A13">
        <v>5</v>
      </c>
      <c r="B13" s="5">
        <v>42461</v>
      </c>
      <c r="C13" s="7">
        <f t="shared" si="0"/>
        <v>6439.329238079999</v>
      </c>
      <c r="D13" s="14">
        <v>2455.587801</v>
      </c>
      <c r="E13" s="14">
        <v>600.119181</v>
      </c>
      <c r="F13" s="15">
        <v>0</v>
      </c>
      <c r="G13" s="26">
        <v>2258.8919498399996</v>
      </c>
      <c r="H13" s="27">
        <v>1267.4617145400002</v>
      </c>
      <c r="I13" s="27">
        <v>-142.7314083</v>
      </c>
      <c r="J13" s="28">
        <f t="shared" si="1"/>
        <v>3383.6222560799997</v>
      </c>
      <c r="M13" s="23"/>
      <c r="N13" s="24"/>
      <c r="O13" s="19"/>
      <c r="P13" s="13"/>
    </row>
    <row r="14" spans="1:16" ht="14.25">
      <c r="A14">
        <v>6</v>
      </c>
      <c r="B14" s="5">
        <v>42491</v>
      </c>
      <c r="C14" s="7">
        <f t="shared" si="0"/>
        <v>6481.3294854900005</v>
      </c>
      <c r="D14" s="14">
        <v>2455.616325</v>
      </c>
      <c r="E14" s="14">
        <v>588.760748</v>
      </c>
      <c r="F14" s="15">
        <v>0</v>
      </c>
      <c r="G14" s="26">
        <v>2337.39065451</v>
      </c>
      <c r="H14" s="27">
        <v>1247.4637577300005</v>
      </c>
      <c r="I14" s="27">
        <v>-147.90199975</v>
      </c>
      <c r="J14" s="28">
        <f t="shared" si="1"/>
        <v>3436.9524124900004</v>
      </c>
      <c r="M14" s="23"/>
      <c r="N14" s="24"/>
      <c r="O14" s="19"/>
      <c r="P14" s="13"/>
    </row>
    <row r="15" spans="1:16" ht="14.25">
      <c r="A15">
        <v>7</v>
      </c>
      <c r="B15" s="5">
        <v>42522</v>
      </c>
      <c r="C15" s="7">
        <f t="shared" si="0"/>
        <v>6592.83444359</v>
      </c>
      <c r="D15" s="14">
        <v>2455.644849</v>
      </c>
      <c r="E15" s="14">
        <v>670.465758</v>
      </c>
      <c r="F15" s="15">
        <v>0</v>
      </c>
      <c r="G15" s="26">
        <v>2371.900209340001</v>
      </c>
      <c r="H15" s="29">
        <v>1273.05707848</v>
      </c>
      <c r="I15" s="29">
        <v>-178.23345123000001</v>
      </c>
      <c r="J15" s="28">
        <f t="shared" si="1"/>
        <v>3466.7238365900007</v>
      </c>
      <c r="M15" s="23"/>
      <c r="N15" s="24"/>
      <c r="O15" s="19"/>
      <c r="P15" s="13"/>
    </row>
    <row r="16" spans="1:16" ht="14.25">
      <c r="A16">
        <v>8</v>
      </c>
      <c r="B16" s="5">
        <v>42552</v>
      </c>
      <c r="C16" s="7">
        <f t="shared" si="0"/>
        <v>6588.399435339999</v>
      </c>
      <c r="D16" s="14">
        <v>2455.673372</v>
      </c>
      <c r="E16" s="14">
        <v>660.469447</v>
      </c>
      <c r="F16" s="15">
        <v>0</v>
      </c>
      <c r="G16" s="26">
        <v>2376.7171883799997</v>
      </c>
      <c r="H16" s="29">
        <v>1288.6425573399993</v>
      </c>
      <c r="I16" s="29">
        <v>-193.10312937999998</v>
      </c>
      <c r="J16" s="28">
        <f t="shared" si="1"/>
        <v>3472.256616339999</v>
      </c>
      <c r="M16" s="23"/>
      <c r="N16" s="24"/>
      <c r="O16" s="19"/>
      <c r="P16" s="13"/>
    </row>
    <row r="17" spans="1:16" ht="14.25">
      <c r="A17">
        <v>9</v>
      </c>
      <c r="B17" s="5">
        <v>42583</v>
      </c>
      <c r="C17" s="7">
        <f t="shared" si="0"/>
        <v>6607.684583269999</v>
      </c>
      <c r="D17" s="14">
        <v>2455.701896</v>
      </c>
      <c r="E17" s="14">
        <v>713.363904</v>
      </c>
      <c r="F17" s="15">
        <v>0</v>
      </c>
      <c r="G17" s="26">
        <v>2378.6363415499995</v>
      </c>
      <c r="H17" s="29">
        <v>1260.8999919699995</v>
      </c>
      <c r="I17" s="29">
        <v>-200.91755025</v>
      </c>
      <c r="J17" s="28">
        <f t="shared" si="1"/>
        <v>3438.618783269999</v>
      </c>
      <c r="M17" s="23"/>
      <c r="N17" s="24"/>
      <c r="O17" s="19"/>
      <c r="P17" s="13"/>
    </row>
    <row r="18" spans="1:16" ht="14.25">
      <c r="A18">
        <v>10</v>
      </c>
      <c r="B18" s="5">
        <v>42614</v>
      </c>
      <c r="C18" s="7">
        <f t="shared" si="0"/>
        <v>6731.64876206</v>
      </c>
      <c r="D18" s="14">
        <v>2438.778635</v>
      </c>
      <c r="E18" s="14">
        <v>829.811164</v>
      </c>
      <c r="F18" s="15">
        <v>0</v>
      </c>
      <c r="G18" s="26">
        <v>2388.54705322</v>
      </c>
      <c r="H18" s="29">
        <v>1262.5337393</v>
      </c>
      <c r="I18" s="29">
        <v>-188.02182946</v>
      </c>
      <c r="J18" s="28">
        <f t="shared" si="1"/>
        <v>3463.05896306</v>
      </c>
      <c r="M18" s="23"/>
      <c r="N18" s="24"/>
      <c r="O18" s="19"/>
      <c r="P18" s="13"/>
    </row>
    <row r="19" spans="1:16" ht="14.25">
      <c r="A19">
        <v>11</v>
      </c>
      <c r="B19" s="5">
        <v>42644</v>
      </c>
      <c r="C19" s="7">
        <f t="shared" si="0"/>
        <v>6884.857109189999</v>
      </c>
      <c r="D19" s="14">
        <v>2563.918889</v>
      </c>
      <c r="E19" s="14">
        <v>800.464658</v>
      </c>
      <c r="F19" s="15">
        <v>0</v>
      </c>
      <c r="G19" s="26">
        <v>2390.78826784</v>
      </c>
      <c r="H19" s="29">
        <v>1285.1716037999997</v>
      </c>
      <c r="I19" s="29">
        <v>-155.48630945</v>
      </c>
      <c r="J19" s="28">
        <f t="shared" si="1"/>
        <v>3520.4735621899995</v>
      </c>
      <c r="M19" s="23"/>
      <c r="N19" s="24"/>
      <c r="O19" s="19"/>
      <c r="P19" s="13"/>
    </row>
    <row r="20" spans="1:16" ht="14.25">
      <c r="A20">
        <v>12</v>
      </c>
      <c r="B20" s="5">
        <v>42675</v>
      </c>
      <c r="C20" s="7">
        <f t="shared" si="0"/>
        <v>7068.76687509</v>
      </c>
      <c r="D20" s="14">
        <v>2564.059143</v>
      </c>
      <c r="E20" s="14">
        <v>909.674672</v>
      </c>
      <c r="F20" s="15">
        <v>0</v>
      </c>
      <c r="G20" s="26">
        <v>2417.4800843800003</v>
      </c>
      <c r="H20" s="29">
        <v>1277.92346972</v>
      </c>
      <c r="I20" s="29">
        <v>-100.37049400999999</v>
      </c>
      <c r="J20" s="28">
        <f t="shared" si="1"/>
        <v>3595.03306009</v>
      </c>
      <c r="M20" s="23"/>
      <c r="N20" s="24"/>
      <c r="O20" s="19"/>
      <c r="P20" s="13"/>
    </row>
    <row r="21" spans="1:16" ht="14.25">
      <c r="A21">
        <v>13</v>
      </c>
      <c r="B21" s="5">
        <v>42705</v>
      </c>
      <c r="C21" s="7">
        <f t="shared" si="0"/>
        <v>7203.9211542699995</v>
      </c>
      <c r="D21" s="14">
        <v>2564.199396</v>
      </c>
      <c r="E21" s="14">
        <v>940.746591</v>
      </c>
      <c r="F21" s="15">
        <v>0</v>
      </c>
      <c r="G21" s="26">
        <v>2451.80282942</v>
      </c>
      <c r="H21" s="29">
        <v>1339.8264011600002</v>
      </c>
      <c r="I21" s="29">
        <v>-92.65406331</v>
      </c>
      <c r="J21" s="28">
        <f t="shared" si="1"/>
        <v>3698.97516727</v>
      </c>
      <c r="M21" s="23"/>
      <c r="N21" s="24"/>
      <c r="O21" s="19"/>
      <c r="P21" s="13"/>
    </row>
    <row r="22" spans="1:16" ht="14.25">
      <c r="A22">
        <v>14</v>
      </c>
      <c r="B22" t="s">
        <v>21</v>
      </c>
      <c r="C22" s="7">
        <f aca="true" t="shared" si="2" ref="C22:J22">SUM(C9:C21)</f>
        <v>86368.94412500999</v>
      </c>
      <c r="D22" s="7">
        <f t="shared" si="2"/>
        <v>32231.246275999998</v>
      </c>
      <c r="E22" s="7">
        <f t="shared" si="2"/>
        <v>9479.192623999998</v>
      </c>
      <c r="F22" s="7">
        <f t="shared" si="2"/>
        <v>0</v>
      </c>
      <c r="G22" s="28">
        <f t="shared" si="2"/>
        <v>30365.15252882</v>
      </c>
      <c r="H22" s="28">
        <f t="shared" si="2"/>
        <v>16268.56324219</v>
      </c>
      <c r="I22" s="28">
        <f>SUM(I9:I21)</f>
        <v>-1975.2105459999996</v>
      </c>
      <c r="J22" s="28">
        <f t="shared" si="2"/>
        <v>44658.50522500999</v>
      </c>
      <c r="O22" s="19"/>
      <c r="P22" s="13"/>
    </row>
    <row r="23" spans="1:16" ht="14.25">
      <c r="A23">
        <v>15</v>
      </c>
      <c r="B23" t="s">
        <v>22</v>
      </c>
      <c r="C23" s="7">
        <f aca="true" t="shared" si="3" ref="C23:J23">C22/13</f>
        <v>6643.764932693076</v>
      </c>
      <c r="D23" s="7">
        <f t="shared" si="3"/>
        <v>2479.3266366153844</v>
      </c>
      <c r="E23" s="7">
        <f t="shared" si="3"/>
        <v>729.1686633846152</v>
      </c>
      <c r="F23" s="7">
        <f t="shared" si="3"/>
        <v>0</v>
      </c>
      <c r="G23" s="7">
        <f t="shared" si="3"/>
        <v>2335.7809637553846</v>
      </c>
      <c r="H23" s="7">
        <f t="shared" si="3"/>
        <v>1251.427941706923</v>
      </c>
      <c r="I23" s="7">
        <f>I22/13</f>
        <v>-151.93927276923074</v>
      </c>
      <c r="J23" s="7">
        <f t="shared" si="3"/>
        <v>3435.2696326930763</v>
      </c>
      <c r="O23" s="19"/>
      <c r="P23" s="13"/>
    </row>
    <row r="24" spans="1:10" ht="12.75">
      <c r="A24">
        <v>16</v>
      </c>
      <c r="B24" t="s">
        <v>23</v>
      </c>
      <c r="C24" s="8">
        <f aca="true" t="shared" si="4" ref="C24:I24">C23/$C$23</f>
        <v>1</v>
      </c>
      <c r="D24" s="8">
        <f t="shared" si="4"/>
        <v>0.3731809691843477</v>
      </c>
      <c r="E24" s="8">
        <f t="shared" si="4"/>
        <v>0.10975232729810684</v>
      </c>
      <c r="F24" s="8">
        <f t="shared" si="4"/>
        <v>0</v>
      </c>
      <c r="G24" s="8">
        <f t="shared" si="4"/>
        <v>0.3515748957735274</v>
      </c>
      <c r="H24" s="8">
        <f t="shared" si="4"/>
        <v>0.18836126118021035</v>
      </c>
      <c r="I24" s="8">
        <f t="shared" si="4"/>
        <v>-0.022869453436192174</v>
      </c>
      <c r="J24" s="8">
        <f>J23/$C$23</f>
        <v>0.5170667035175455</v>
      </c>
    </row>
    <row r="25" spans="1:10" ht="12.75">
      <c r="A25">
        <v>17</v>
      </c>
      <c r="B25" t="s">
        <v>24</v>
      </c>
      <c r="C25" s="8">
        <f>C21/$C$21</f>
        <v>1</v>
      </c>
      <c r="D25" s="8">
        <f aca="true" t="shared" si="5" ref="D25:J25">D21/$C$21</f>
        <v>0.355944955682936</v>
      </c>
      <c r="E25" s="8">
        <f t="shared" si="5"/>
        <v>0.13058812983292978</v>
      </c>
      <c r="F25" s="8">
        <f t="shared" si="5"/>
        <v>0</v>
      </c>
      <c r="G25" s="8">
        <f t="shared" si="5"/>
        <v>0.3403428184339214</v>
      </c>
      <c r="H25" s="8">
        <f t="shared" si="5"/>
        <v>0.1859857114574111</v>
      </c>
      <c r="I25" s="8">
        <f>I21/$C$21</f>
        <v>-0.01286161540719819</v>
      </c>
      <c r="J25" s="8">
        <f t="shared" si="5"/>
        <v>0.5134669144841343</v>
      </c>
    </row>
    <row r="28" ht="12.75">
      <c r="E28" s="13"/>
    </row>
  </sheetData>
  <sheetProtection/>
  <mergeCells count="5">
    <mergeCell ref="A1:J1"/>
    <mergeCell ref="A2:J2"/>
    <mergeCell ref="A3:J3"/>
    <mergeCell ref="A4:J4"/>
    <mergeCell ref="A5:J5"/>
  </mergeCells>
  <printOptions horizontalCentered="1"/>
  <pageMargins left="0" right="0" top="1" bottom="1" header="0.25" footer="0.5"/>
  <pageSetup horizontalDpi="600" verticalDpi="600" orientation="landscape" scale="80" r:id="rId1"/>
  <headerFooter alignWithMargins="0">
    <oddHeader>&amp;R&amp;8CASE NO. 2017-00349
ATTACHMENT 1
TO STAFF DR NO. 1-03</oddHeader>
    <oddFooter>&amp;C&amp;P of &amp;N</oddFooter>
  </headerFooter>
  <ignoredErrors>
    <ignoredError sqref="J9:J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chrfelan</dc:creator>
  <cp:keywords/>
  <dc:description/>
  <cp:lastModifiedBy>Eric  Wilen</cp:lastModifiedBy>
  <cp:lastPrinted>2017-09-21T13:56:36Z</cp:lastPrinted>
  <dcterms:created xsi:type="dcterms:W3CDTF">2009-10-07T20:43:46Z</dcterms:created>
  <dcterms:modified xsi:type="dcterms:W3CDTF">2017-09-21T13:56:41Z</dcterms:modified>
  <cp:category/>
  <cp:version/>
  <cp:contentType/>
  <cp:contentStatus/>
</cp:coreProperties>
</file>