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Attachments\Staff_1-71 - Model Workpapers in Excel\Relied Upons\"/>
    </mc:Choice>
  </mc:AlternateContent>
  <bookViews>
    <workbookView xWindow="0" yWindow="0" windowWidth="28800" windowHeight="10935"/>
  </bookViews>
  <sheets>
    <sheet name="K" sheetId="1" r:id="rId1"/>
  </sheets>
  <externalReferences>
    <externalReference r:id="rId2"/>
    <externalReference r:id="rId3"/>
    <externalReference r:id="rId4"/>
  </externalReferences>
  <definedNames>
    <definedName name="_Div012">#REF!</definedName>
    <definedName name="_Div02">#REF!</definedName>
    <definedName name="_Div091">#REF!</definedName>
    <definedName name="_Order1" hidden="1">255</definedName>
    <definedName name="Case_No._2006_00464">#REF!</definedName>
    <definedName name="COMPANY_NAME_TO_PRINT_ON_CHECK">'[1]Drop Down Lists'!$A$2:$A$23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EXPENDITURE_TYPE_LIST">'[1]Drop Down Lists'!$G$3:$G$13</definedName>
    <definedName name="kytax">#REF!</definedName>
    <definedName name="ltdrate">#REF!</definedName>
    <definedName name="PopCache_GL_INTERFACE_REFERENCE7" hidden="1">[2]PopCache!$A$1:$A$2</definedName>
    <definedName name="_xlnm.Print_Area" localSheetId="0">K!$A$1:$R$135</definedName>
    <definedName name="_xlnm.Print_Titles" localSheetId="0">K!$1:$13</definedName>
    <definedName name="RJ">#REF!</definedName>
    <definedName name="ROR">#REF!</definedName>
    <definedName name="SPECIAL_INSTRUCTIONS">'[1]Drop Down Lists'!$J$3:$J$7</definedName>
    <definedName name="stdrate">#REF!</definedName>
    <definedName name="TYPE_OF_PAYMENT">'[1]Drop Down Lists'!$N$3:$N$13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2" i="1" l="1"/>
  <c r="G132" i="1"/>
  <c r="H123" i="1"/>
  <c r="G123" i="1"/>
  <c r="H122" i="1"/>
  <c r="G122" i="1"/>
  <c r="H121" i="1"/>
  <c r="G121" i="1"/>
  <c r="H120" i="1"/>
  <c r="G120" i="1"/>
  <c r="H119" i="1"/>
  <c r="G119" i="1"/>
  <c r="H86" i="1"/>
  <c r="H85" i="1"/>
  <c r="H79" i="1"/>
  <c r="G79" i="1"/>
  <c r="H72" i="1"/>
  <c r="G72" i="1"/>
  <c r="H71" i="1"/>
  <c r="G71" i="1"/>
  <c r="H59" i="1"/>
  <c r="G59" i="1"/>
  <c r="H57" i="1"/>
  <c r="G57" i="1"/>
  <c r="H54" i="1"/>
  <c r="G54" i="1"/>
  <c r="H53" i="1"/>
  <c r="G53" i="1"/>
  <c r="H50" i="1"/>
  <c r="G50" i="1"/>
  <c r="H48" i="1"/>
  <c r="G48" i="1"/>
  <c r="H43" i="1"/>
  <c r="G43" i="1"/>
  <c r="H42" i="1"/>
  <c r="G42" i="1"/>
  <c r="H41" i="1"/>
  <c r="G41" i="1"/>
  <c r="H40" i="1"/>
  <c r="G40" i="1"/>
  <c r="H29" i="1"/>
  <c r="G29" i="1"/>
  <c r="H26" i="1"/>
  <c r="G26" i="1"/>
  <c r="H22" i="1"/>
  <c r="G22" i="1"/>
  <c r="H21" i="1"/>
  <c r="G21" i="1"/>
  <c r="H20" i="1"/>
  <c r="G20" i="1"/>
  <c r="H19" i="1"/>
  <c r="G19" i="1"/>
  <c r="H18" i="1"/>
  <c r="G18" i="1"/>
  <c r="H17" i="1"/>
  <c r="G17" i="1"/>
  <c r="H124" i="1" l="1"/>
  <c r="H130" i="1" s="1"/>
  <c r="H128" i="1" s="1"/>
  <c r="G124" i="1"/>
  <c r="G130" i="1" s="1"/>
  <c r="G128" i="1" s="1"/>
  <c r="H45" i="1"/>
  <c r="G45" i="1"/>
  <c r="H31" i="1"/>
  <c r="G31" i="1"/>
  <c r="G25" i="1" l="1"/>
  <c r="G27" i="1" s="1"/>
  <c r="G33" i="1" s="1"/>
  <c r="G55" i="1"/>
  <c r="G58" i="1" s="1"/>
  <c r="G60" i="1" s="1"/>
  <c r="G62" i="1" s="1"/>
  <c r="H25" i="1"/>
  <c r="H27" i="1" s="1"/>
  <c r="H33" i="1" s="1"/>
  <c r="H55" i="1"/>
  <c r="H58" i="1" s="1"/>
  <c r="H80" i="1" s="1"/>
  <c r="G78" i="1"/>
  <c r="G82" i="1"/>
  <c r="R128" i="1"/>
  <c r="Q128" i="1"/>
  <c r="P128" i="1"/>
  <c r="O128" i="1"/>
  <c r="N128" i="1"/>
  <c r="M128" i="1"/>
  <c r="L128" i="1"/>
  <c r="K128" i="1"/>
  <c r="J128" i="1"/>
  <c r="I128" i="1"/>
  <c r="R124" i="1"/>
  <c r="Q124" i="1"/>
  <c r="J124" i="1"/>
  <c r="I124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P124" i="1" s="1"/>
  <c r="O119" i="1"/>
  <c r="O124" i="1" s="1"/>
  <c r="N119" i="1"/>
  <c r="M119" i="1"/>
  <c r="L119" i="1"/>
  <c r="L124" i="1" s="1"/>
  <c r="K119" i="1"/>
  <c r="K124" i="1" s="1"/>
  <c r="R98" i="1"/>
  <c r="Q98" i="1"/>
  <c r="P98" i="1"/>
  <c r="O98" i="1"/>
  <c r="N98" i="1"/>
  <c r="M98" i="1"/>
  <c r="L98" i="1"/>
  <c r="K98" i="1"/>
  <c r="J98" i="1"/>
  <c r="I98" i="1"/>
  <c r="R59" i="1"/>
  <c r="Q59" i="1"/>
  <c r="O59" i="1"/>
  <c r="N59" i="1"/>
  <c r="M59" i="1"/>
  <c r="R57" i="1"/>
  <c r="Q57" i="1"/>
  <c r="O57" i="1"/>
  <c r="N57" i="1"/>
  <c r="M57" i="1"/>
  <c r="O56" i="1"/>
  <c r="N56" i="1"/>
  <c r="Q55" i="1"/>
  <c r="P55" i="1"/>
  <c r="P58" i="1" s="1"/>
  <c r="P60" i="1" s="1"/>
  <c r="L55" i="1"/>
  <c r="L58" i="1" s="1"/>
  <c r="L60" i="1" s="1"/>
  <c r="K55" i="1"/>
  <c r="K58" i="1" s="1"/>
  <c r="K60" i="1" s="1"/>
  <c r="J55" i="1"/>
  <c r="J58" i="1" s="1"/>
  <c r="J60" i="1" s="1"/>
  <c r="I55" i="1"/>
  <c r="I58" i="1" s="1"/>
  <c r="I60" i="1" s="1"/>
  <c r="R53" i="1"/>
  <c r="R55" i="1" s="1"/>
  <c r="O53" i="1"/>
  <c r="N53" i="1"/>
  <c r="M53" i="1"/>
  <c r="O50" i="1"/>
  <c r="N50" i="1"/>
  <c r="M50" i="1"/>
  <c r="O48" i="1"/>
  <c r="N48" i="1"/>
  <c r="M48" i="1"/>
  <c r="R45" i="1"/>
  <c r="Q45" i="1"/>
  <c r="O45" i="1"/>
  <c r="N45" i="1"/>
  <c r="M45" i="1"/>
  <c r="L45" i="1"/>
  <c r="K45" i="1"/>
  <c r="J45" i="1"/>
  <c r="I45" i="1"/>
  <c r="P43" i="1"/>
  <c r="P45" i="1" s="1"/>
  <c r="R31" i="1"/>
  <c r="Q31" i="1"/>
  <c r="P31" i="1"/>
  <c r="O31" i="1"/>
  <c r="N31" i="1"/>
  <c r="M31" i="1"/>
  <c r="L31" i="1"/>
  <c r="K31" i="1"/>
  <c r="J31" i="1"/>
  <c r="I31" i="1"/>
  <c r="L27" i="1"/>
  <c r="L33" i="1" s="1"/>
  <c r="P26" i="1"/>
  <c r="O26" i="1"/>
  <c r="N26" i="1"/>
  <c r="M26" i="1"/>
  <c r="Q25" i="1"/>
  <c r="Q27" i="1" s="1"/>
  <c r="P25" i="1"/>
  <c r="P27" i="1" s="1"/>
  <c r="L25" i="1"/>
  <c r="K25" i="1"/>
  <c r="K27" i="1" s="1"/>
  <c r="J25" i="1"/>
  <c r="J27" i="1" s="1"/>
  <c r="I25" i="1"/>
  <c r="I27" i="1" s="1"/>
  <c r="R23" i="1"/>
  <c r="R25" i="1" s="1"/>
  <c r="R27" i="1" s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7" i="1"/>
  <c r="N17" i="1"/>
  <c r="M17" i="1"/>
  <c r="H77" i="1" l="1"/>
  <c r="G80" i="1"/>
  <c r="G76" i="1"/>
  <c r="G77" i="1"/>
  <c r="H82" i="1"/>
  <c r="H60" i="1"/>
  <c r="H62" i="1" s="1"/>
  <c r="H66" i="1" s="1"/>
  <c r="H78" i="1"/>
  <c r="H76" i="1"/>
  <c r="P33" i="1"/>
  <c r="N55" i="1"/>
  <c r="N58" i="1" s="1"/>
  <c r="N60" i="1" s="1"/>
  <c r="N62" i="1" s="1"/>
  <c r="M124" i="1"/>
  <c r="Q33" i="1"/>
  <c r="N124" i="1"/>
  <c r="G66" i="1"/>
  <c r="G64" i="1"/>
  <c r="J33" i="1"/>
  <c r="K33" i="1"/>
  <c r="R33" i="1"/>
  <c r="O25" i="1"/>
  <c r="O27" i="1" s="1"/>
  <c r="O33" i="1" s="1"/>
  <c r="M55" i="1"/>
  <c r="M58" i="1" s="1"/>
  <c r="M60" i="1" s="1"/>
  <c r="M62" i="1" s="1"/>
  <c r="M66" i="1" s="1"/>
  <c r="Q58" i="1"/>
  <c r="Q60" i="1" s="1"/>
  <c r="Q62" i="1" s="1"/>
  <c r="Q66" i="1" s="1"/>
  <c r="N66" i="1"/>
  <c r="M25" i="1"/>
  <c r="M27" i="1" s="1"/>
  <c r="M33" i="1" s="1"/>
  <c r="N25" i="1"/>
  <c r="N27" i="1" s="1"/>
  <c r="N33" i="1" s="1"/>
  <c r="O55" i="1"/>
  <c r="O58" i="1" s="1"/>
  <c r="O60" i="1" s="1"/>
  <c r="O62" i="1" s="1"/>
  <c r="R58" i="1"/>
  <c r="R60" i="1" s="1"/>
  <c r="R62" i="1" s="1"/>
  <c r="R64" i="1" s="1"/>
  <c r="L64" i="1"/>
  <c r="L62" i="1"/>
  <c r="L66" i="1" s="1"/>
  <c r="I33" i="1"/>
  <c r="I64" i="1"/>
  <c r="I62" i="1"/>
  <c r="I66" i="1" s="1"/>
  <c r="P64" i="1"/>
  <c r="P62" i="1"/>
  <c r="P66" i="1" s="1"/>
  <c r="J64" i="1"/>
  <c r="J62" i="1"/>
  <c r="J66" i="1" s="1"/>
  <c r="Q64" i="1"/>
  <c r="K64" i="1"/>
  <c r="K62" i="1"/>
  <c r="K66" i="1" s="1"/>
  <c r="O66" i="1"/>
  <c r="N64" i="1"/>
  <c r="M64" i="1" l="1"/>
  <c r="H64" i="1"/>
  <c r="R66" i="1"/>
  <c r="O64" i="1"/>
</calcChain>
</file>

<file path=xl/sharedStrings.xml><?xml version="1.0" encoding="utf-8"?>
<sst xmlns="http://schemas.openxmlformats.org/spreadsheetml/2006/main" count="248" uniqueCount="126">
  <si>
    <t>Comparative Financial Data</t>
  </si>
  <si>
    <t>and 10 Most Recent Calendar Years</t>
  </si>
  <si>
    <t>Data:__X___Base Period___X___Forecasted Period</t>
  </si>
  <si>
    <t>Schedule K</t>
  </si>
  <si>
    <t>Type of Filing:_______Original________Updated ____X____Revised</t>
  </si>
  <si>
    <t>Workpaper Reference No(s).____________________</t>
  </si>
  <si>
    <t>Line</t>
  </si>
  <si>
    <t>Forecasted</t>
  </si>
  <si>
    <t>Base</t>
  </si>
  <si>
    <t>Most Recent Ten Calendar Years - as Reported</t>
  </si>
  <si>
    <t>No.</t>
  </si>
  <si>
    <t>Description</t>
  </si>
  <si>
    <t>Period</t>
  </si>
  <si>
    <t xml:space="preserve"> </t>
  </si>
  <si>
    <t>Plant Data: ($000)</t>
  </si>
  <si>
    <t xml:space="preserve">   Plant in Service by functional class:</t>
  </si>
  <si>
    <t xml:space="preserve">   Intangible Plant</t>
  </si>
  <si>
    <t xml:space="preserve">   Production &amp; Gathering Plant</t>
  </si>
  <si>
    <t xml:space="preserve">   Underground Storage</t>
  </si>
  <si>
    <t xml:space="preserve">   Transmission Plant</t>
  </si>
  <si>
    <t xml:space="preserve">   Distribution Plant</t>
  </si>
  <si>
    <t xml:space="preserve">   General Plant</t>
  </si>
  <si>
    <t xml:space="preserve">    Acquisition Adjustments</t>
  </si>
  <si>
    <t xml:space="preserve">    Gross Plant</t>
  </si>
  <si>
    <t xml:space="preserve">   Less:  Accumulated depreciation</t>
  </si>
  <si>
    <t xml:space="preserve">   Net plant in Service</t>
  </si>
  <si>
    <t xml:space="preserve">  Construction Work in Progress</t>
  </si>
  <si>
    <t xml:space="preserve">    Total CWIP</t>
  </si>
  <si>
    <t>Total</t>
  </si>
  <si>
    <t>% of Construction financed internally</t>
  </si>
  <si>
    <t>Capital structure:(Total Company)</t>
  </si>
  <si>
    <t>(based on fiscal year-end accounts))</t>
  </si>
  <si>
    <t xml:space="preserve">  Short-term debt ($000)</t>
  </si>
  <si>
    <t xml:space="preserve">  Long-term debt ($000)</t>
  </si>
  <si>
    <t xml:space="preserve">  Preferred stock ($000)</t>
  </si>
  <si>
    <t xml:space="preserve">  Common equity ($000)</t>
  </si>
  <si>
    <t>Condensed Income Statement data: ($000)</t>
  </si>
  <si>
    <t xml:space="preserve">  Operating Revenues </t>
  </si>
  <si>
    <t xml:space="preserve">  Operating Expenses (excludes Federal</t>
  </si>
  <si>
    <t xml:space="preserve">  and State Taxes, includes gas cost) </t>
  </si>
  <si>
    <t xml:space="preserve">  State Income Tax (current))</t>
  </si>
  <si>
    <t xml:space="preserve">  Federal Income Tax (current)</t>
  </si>
  <si>
    <t xml:space="preserve">  Federal and State Income Tax - net</t>
  </si>
  <si>
    <t xml:space="preserve">  Investment  tax credits</t>
  </si>
  <si>
    <t xml:space="preserve">  Operating Income</t>
  </si>
  <si>
    <t xml:space="preserve">  AFUDC</t>
  </si>
  <si>
    <t xml:space="preserve">  Other Income net</t>
  </si>
  <si>
    <t xml:space="preserve">  Income available for fixed charges</t>
  </si>
  <si>
    <t xml:space="preserve">  Interest charges</t>
  </si>
  <si>
    <t xml:space="preserve">  Net Income</t>
  </si>
  <si>
    <t xml:space="preserve">  Preferred dividends accrual</t>
  </si>
  <si>
    <t>N/A</t>
  </si>
  <si>
    <t xml:space="preserve">  Earnings available for common equity</t>
  </si>
  <si>
    <t xml:space="preserve">  AFUDC - % of Net Income</t>
  </si>
  <si>
    <t xml:space="preserve">  AFUDC - % of earnings available for </t>
  </si>
  <si>
    <t xml:space="preserve">   common equity</t>
  </si>
  <si>
    <t>Costs of Capital</t>
  </si>
  <si>
    <t xml:space="preserve">  Embedded cost of short-term debt (%)</t>
  </si>
  <si>
    <t xml:space="preserve">  Embedded cost of long-term debt  (%)</t>
  </si>
  <si>
    <t xml:space="preserve">  Embedded cost of preferred stock (%)</t>
  </si>
  <si>
    <t>Fixed Charge Coverage: (1)</t>
  </si>
  <si>
    <t xml:space="preserve">  Pre-Tax Interest Coverage </t>
  </si>
  <si>
    <t xml:space="preserve">  Pre-Tax Interest Coverage (Excluding AFUDC)</t>
  </si>
  <si>
    <t xml:space="preserve">  After Tax Interest Coverage  </t>
  </si>
  <si>
    <t xml:space="preserve">  SEC Coverage</t>
  </si>
  <si>
    <t xml:space="preserve">  After Tax Interest Coverage (Excluding AFUDC)</t>
  </si>
  <si>
    <t xml:space="preserve">  After Tax Fixed Charge Coverage</t>
  </si>
  <si>
    <t>Stock and Bond Ratings: (1)</t>
  </si>
  <si>
    <t xml:space="preserve">  Moody's Bond Rating</t>
  </si>
  <si>
    <t>Baa2</t>
  </si>
  <si>
    <t>A2</t>
  </si>
  <si>
    <t>Baa1</t>
  </si>
  <si>
    <t>Baa3</t>
  </si>
  <si>
    <t xml:space="preserve">  S&amp;P Bond Rating</t>
  </si>
  <si>
    <t>BBB</t>
  </si>
  <si>
    <t>A-</t>
  </si>
  <si>
    <t>BBB+</t>
  </si>
  <si>
    <t xml:space="preserve">  Moody's Preferred Stock Rating</t>
  </si>
  <si>
    <t xml:space="preserve">  S&amp;P Preferred Stock Rating</t>
  </si>
  <si>
    <t>Common Stock Related Data: (1)</t>
  </si>
  <si>
    <t xml:space="preserve">  Shares Outstanding Year End (000)</t>
  </si>
  <si>
    <t xml:space="preserve">  Shares Outstanding - Weighted</t>
  </si>
  <si>
    <t xml:space="preserve">   Average Diluted at Fiscal Year End (000)</t>
  </si>
  <si>
    <t xml:space="preserve">  Diluted Earnings Per Share - Weighted Avg. ($)</t>
  </si>
  <si>
    <t xml:space="preserve">  Dividends Paid Per Share ($)</t>
  </si>
  <si>
    <t xml:space="preserve">  Dividends Declared Per Share ($)</t>
  </si>
  <si>
    <t xml:space="preserve">  Dividend Payout Ratio (Declared</t>
  </si>
  <si>
    <t xml:space="preserve">   Basis) (%)</t>
  </si>
  <si>
    <t xml:space="preserve">  Market Price - High (Low)</t>
  </si>
  <si>
    <t xml:space="preserve">   1st Quarter - High ($)</t>
  </si>
  <si>
    <t xml:space="preserve">   1st Quarter - Low ($)</t>
  </si>
  <si>
    <t xml:space="preserve">   2nd Quarter - High ($)</t>
  </si>
  <si>
    <t xml:space="preserve">   2nd Quarter - Low ($)</t>
  </si>
  <si>
    <t xml:space="preserve">   3rd Quarter - High ($)</t>
  </si>
  <si>
    <t xml:space="preserve">   3rd Quarter - Low ($)</t>
  </si>
  <si>
    <t xml:space="preserve">   4th Quarter - High ($)</t>
  </si>
  <si>
    <t xml:space="preserve">   4th Quarter - Low ($)</t>
  </si>
  <si>
    <t xml:space="preserve">  Book Amount Per Share (Year-end) ($)</t>
  </si>
  <si>
    <t>(1) Based on fiscal year-end of parent company</t>
  </si>
  <si>
    <t>Rate of Return Measures (1)</t>
  </si>
  <si>
    <t xml:space="preserve">  Return On Common Equity (Average)</t>
  </si>
  <si>
    <t xml:space="preserve">  Return On Total Capital (Average)</t>
  </si>
  <si>
    <t xml:space="preserve">  Return On Net Plant in Service (Average)</t>
  </si>
  <si>
    <t>Other Financial and Operating Data:</t>
  </si>
  <si>
    <t xml:space="preserve">  Mix of Sales:</t>
  </si>
  <si>
    <t>(MMcf)</t>
  </si>
  <si>
    <t xml:space="preserve">   Residential</t>
  </si>
  <si>
    <t xml:space="preserve">   Commercial</t>
  </si>
  <si>
    <t xml:space="preserve">   Industrial</t>
  </si>
  <si>
    <t xml:space="preserve">   Public authority &amp; Other Sales</t>
  </si>
  <si>
    <t>Unbilled</t>
  </si>
  <si>
    <t xml:space="preserve">  Total Mix of Sales</t>
  </si>
  <si>
    <t xml:space="preserve">  Mix of Fuel:</t>
  </si>
  <si>
    <t xml:space="preserve">   Other</t>
  </si>
  <si>
    <t xml:space="preserve">  Total MIX of Fuel (2)</t>
  </si>
  <si>
    <t>Composite Depreciation Rate</t>
  </si>
  <si>
    <t>(1) Based on fiscal year-end of parent company, except for Base Period &amp; Test Period which are based on Atmos Energy Corporation, Kentucky.</t>
  </si>
  <si>
    <t>(2) Kentucky gas purchases by accounting month.</t>
  </si>
  <si>
    <t xml:space="preserve">  Indenture Provision Coverage</t>
  </si>
  <si>
    <t>A</t>
  </si>
  <si>
    <t>Base Period: Twelve Months Ended December 31, 2017</t>
  </si>
  <si>
    <t>FR 16(8) (k)</t>
  </si>
  <si>
    <t>Forecasted Test Period: Twelve Months Ended March 31, 2019</t>
  </si>
  <si>
    <t>Kentucky Jurisdiction Case No. 2017-00349</t>
  </si>
  <si>
    <t>Witness:  Gillham, Martin and Waller</t>
  </si>
  <si>
    <t>Atmos Energy Corporation, Kentucky/Mid-States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</si>
</sst>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_)"/>
    <numFmt numFmtId="165" formatCode="hh:mm:ss_)"/>
    <numFmt numFmtId="166" formatCode="0.00_)"/>
    <numFmt numFmtId="167" formatCode="0.0%"/>
  </numFmts>
  <fonts count="9">
    <font>
      <sz val="12"/>
      <name val="Helvetica-Narrow"/>
      <family val="2"/>
    </font>
    <font>
      <sz val="12"/>
      <name val="Helvetica-Narrow"/>
      <family val="2"/>
    </font>
    <font>
      <sz val="12"/>
      <name val="Helvetica-Narrow"/>
    </font>
    <font>
      <u/>
      <sz val="12"/>
      <name val="Helvetica-Narrow"/>
      <family val="2"/>
    </font>
    <font>
      <sz val="12"/>
      <color indexed="12"/>
      <name val="Helvetica-Narrow"/>
    </font>
    <font>
      <u val="double"/>
      <sz val="12"/>
      <name val="Helvetica-Narrow"/>
      <family val="2"/>
    </font>
    <font>
      <u/>
      <sz val="12"/>
      <name val="Helvetica-Narrow"/>
    </font>
    <font>
      <sz val="12"/>
      <color indexed="12"/>
      <name val="Helvetica-Narrow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37" fontId="0" fillId="0" borderId="0" applyProtection="0"/>
    <xf numFmtId="9" fontId="8" fillId="0" borderId="0" applyFont="0" applyFill="0" applyBorder="0" applyAlignment="0" applyProtection="0"/>
  </cellStyleXfs>
  <cellXfs count="58">
    <xf numFmtId="37" fontId="0" fillId="0" borderId="0" xfId="0"/>
    <xf numFmtId="37" fontId="1" fillId="0" borderId="0" xfId="0" applyFont="1" applyFill="1"/>
    <xf numFmtId="37" fontId="1" fillId="0" borderId="1" xfId="0" applyFont="1" applyFill="1" applyBorder="1"/>
    <xf numFmtId="37" fontId="0" fillId="0" borderId="0" xfId="0" applyFont="1" applyFill="1"/>
    <xf numFmtId="37" fontId="1" fillId="0" borderId="0" xfId="0" applyNumberFormat="1" applyFont="1" applyFill="1" applyProtection="1"/>
    <xf numFmtId="37" fontId="0" fillId="0" borderId="0" xfId="0" applyNumberFormat="1" applyFont="1" applyFill="1" applyProtection="1"/>
    <xf numFmtId="37" fontId="1" fillId="0" borderId="1" xfId="0" applyNumberFormat="1" applyFont="1" applyFill="1" applyBorder="1" applyProtection="1"/>
    <xf numFmtId="37" fontId="0" fillId="0" borderId="1" xfId="0" applyNumberFormat="1" applyFont="1" applyFill="1" applyBorder="1" applyProtection="1"/>
    <xf numFmtId="37" fontId="5" fillId="0" borderId="0" xfId="0" applyNumberFormat="1" applyFont="1" applyFill="1" applyProtection="1"/>
    <xf numFmtId="10" fontId="5" fillId="0" borderId="0" xfId="0" applyNumberFormat="1" applyFont="1" applyFill="1" applyProtection="1"/>
    <xf numFmtId="37" fontId="0" fillId="0" borderId="0" xfId="0" applyNumberFormat="1" applyFont="1" applyFill="1" applyProtection="1">
      <protection locked="0"/>
    </xf>
    <xf numFmtId="37" fontId="0" fillId="0" borderId="0" xfId="0" applyNumberFormat="1" applyFont="1" applyFill="1" applyAlignment="1" applyProtection="1">
      <alignment horizontal="right"/>
    </xf>
    <xf numFmtId="37" fontId="0" fillId="0" borderId="1" xfId="0" applyNumberFormat="1" applyFont="1" applyFill="1" applyBorder="1" applyProtection="1">
      <protection locked="0"/>
    </xf>
    <xf numFmtId="37" fontId="2" fillId="0" borderId="0" xfId="0" applyNumberFormat="1" applyFont="1" applyFill="1" applyProtection="1">
      <protection locked="0"/>
    </xf>
    <xf numFmtId="37" fontId="7" fillId="0" borderId="0" xfId="0" applyNumberFormat="1" applyFont="1" applyFill="1" applyProtection="1">
      <protection locked="0"/>
    </xf>
    <xf numFmtId="37" fontId="7" fillId="0" borderId="1" xfId="0" applyNumberFormat="1" applyFont="1" applyFill="1" applyBorder="1" applyProtection="1">
      <protection locked="0"/>
    </xf>
    <xf numFmtId="37" fontId="2" fillId="0" borderId="1" xfId="0" applyNumberFormat="1" applyFont="1" applyFill="1" applyBorder="1" applyProtection="1">
      <protection locked="0"/>
    </xf>
    <xf numFmtId="37" fontId="1" fillId="0" borderId="1" xfId="0" applyNumberFormat="1" applyFont="1" applyFill="1" applyBorder="1" applyAlignment="1" applyProtection="1">
      <alignment horizontal="right"/>
    </xf>
    <xf numFmtId="37" fontId="0" fillId="0" borderId="1" xfId="0" applyNumberFormat="1" applyFont="1" applyFill="1" applyBorder="1" applyAlignment="1" applyProtection="1">
      <alignment horizontal="right"/>
    </xf>
    <xf numFmtId="10" fontId="0" fillId="0" borderId="0" xfId="0" applyNumberFormat="1" applyFont="1" applyFill="1" applyProtection="1"/>
    <xf numFmtId="39" fontId="0" fillId="0" borderId="0" xfId="0" applyNumberFormat="1" applyFont="1" applyFill="1"/>
    <xf numFmtId="10" fontId="1" fillId="0" borderId="0" xfId="0" applyNumberFormat="1" applyFont="1" applyFill="1" applyProtection="1"/>
    <xf numFmtId="39" fontId="1" fillId="0" borderId="0" xfId="0" applyNumberFormat="1" applyFont="1" applyFill="1" applyProtection="1"/>
    <xf numFmtId="39" fontId="0" fillId="0" borderId="0" xfId="0" applyNumberFormat="1" applyFont="1" applyFill="1" applyProtection="1"/>
    <xf numFmtId="39" fontId="0" fillId="0" borderId="0" xfId="0" applyNumberFormat="1" applyFont="1" applyFill="1" applyAlignment="1" applyProtection="1">
      <alignment horizontal="right"/>
    </xf>
    <xf numFmtId="37" fontId="1" fillId="0" borderId="0" xfId="0" applyNumberFormat="1" applyFont="1" applyFill="1" applyAlignment="1" applyProtection="1">
      <alignment horizontal="right"/>
    </xf>
    <xf numFmtId="39" fontId="1" fillId="0" borderId="0" xfId="0" applyNumberFormat="1" applyFont="1" applyFill="1" applyAlignment="1" applyProtection="1">
      <alignment horizontal="right"/>
    </xf>
    <xf numFmtId="9" fontId="0" fillId="0" borderId="0" xfId="1" applyFont="1" applyFill="1" applyProtection="1"/>
    <xf numFmtId="39" fontId="0" fillId="0" borderId="0" xfId="0" applyNumberFormat="1" applyFont="1" applyFill="1" applyAlignment="1" applyProtection="1"/>
    <xf numFmtId="167" fontId="1" fillId="0" borderId="0" xfId="0" applyNumberFormat="1" applyFont="1" applyFill="1" applyAlignment="1" applyProtection="1">
      <alignment horizontal="right"/>
    </xf>
    <xf numFmtId="167" fontId="0" fillId="0" borderId="0" xfId="0" applyNumberFormat="1" applyFont="1" applyFill="1" applyProtection="1"/>
    <xf numFmtId="167" fontId="1" fillId="0" borderId="0" xfId="0" applyNumberFormat="1" applyFont="1" applyFill="1" applyProtection="1"/>
    <xf numFmtId="37" fontId="1" fillId="0" borderId="3" xfId="0" applyNumberFormat="1" applyFont="1" applyFill="1" applyBorder="1" applyProtection="1"/>
    <xf numFmtId="37" fontId="0" fillId="0" borderId="3" xfId="0" applyNumberFormat="1" applyFont="1" applyFill="1" applyBorder="1" applyProtection="1"/>
    <xf numFmtId="10" fontId="0" fillId="0" borderId="0" xfId="1" applyNumberFormat="1" applyFont="1" applyFill="1" applyProtection="1"/>
    <xf numFmtId="37" fontId="1" fillId="0" borderId="0" xfId="0" applyFont="1" applyFill="1" applyAlignment="1">
      <alignment horizontal="center"/>
    </xf>
    <xf numFmtId="37" fontId="0" fillId="0" borderId="0" xfId="0" applyFont="1" applyFill="1" applyAlignment="1">
      <alignment horizontal="center"/>
    </xf>
    <xf numFmtId="164" fontId="1" fillId="0" borderId="0" xfId="0" applyNumberFormat="1" applyFont="1" applyFill="1" applyProtection="1"/>
    <xf numFmtId="165" fontId="1" fillId="0" borderId="0" xfId="0" applyNumberFormat="1" applyFont="1" applyFill="1" applyProtection="1"/>
    <xf numFmtId="37" fontId="1" fillId="0" borderId="0" xfId="0" applyFont="1" applyFill="1" applyAlignment="1" applyProtection="1">
      <alignment horizontal="center"/>
    </xf>
    <xf numFmtId="37" fontId="1" fillId="0" borderId="0" xfId="0" applyFont="1" applyFill="1" applyAlignment="1" applyProtection="1">
      <alignment horizontal="left"/>
    </xf>
    <xf numFmtId="37" fontId="2" fillId="0" borderId="0" xfId="0" applyFont="1" applyFill="1" applyAlignment="1" applyProtection="1">
      <alignment horizontal="left"/>
    </xf>
    <xf numFmtId="37" fontId="1" fillId="0" borderId="0" xfId="0" applyFont="1" applyFill="1" applyAlignment="1" applyProtection="1">
      <alignment horizontal="right"/>
    </xf>
    <xf numFmtId="37" fontId="1" fillId="0" borderId="1" xfId="0" applyFont="1" applyFill="1" applyBorder="1" applyAlignment="1" applyProtection="1">
      <alignment horizontal="left"/>
    </xf>
    <xf numFmtId="37" fontId="1" fillId="0" borderId="3" xfId="0" applyFont="1" applyFill="1" applyBorder="1"/>
    <xf numFmtId="37" fontId="1" fillId="0" borderId="1" xfId="0" applyFont="1" applyFill="1" applyBorder="1" applyAlignment="1">
      <alignment horizontal="right"/>
    </xf>
    <xf numFmtId="37" fontId="1" fillId="0" borderId="0" xfId="0" applyFont="1" applyFill="1" applyBorder="1" applyAlignment="1" applyProtection="1">
      <alignment horizontal="center"/>
    </xf>
    <xf numFmtId="37" fontId="1" fillId="0" borderId="1" xfId="0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>
      <alignment horizontal="center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/>
    <xf numFmtId="37" fontId="4" fillId="0" borderId="0" xfId="0" applyNumberFormat="1" applyFont="1" applyFill="1" applyProtection="1"/>
    <xf numFmtId="37" fontId="1" fillId="0" borderId="0" xfId="0" applyNumberFormat="1" applyFont="1" applyFill="1" applyBorder="1" applyProtection="1"/>
    <xf numFmtId="37" fontId="6" fillId="0" borderId="0" xfId="0" applyFont="1" applyFill="1"/>
    <xf numFmtId="166" fontId="1" fillId="0" borderId="0" xfId="0" applyNumberFormat="1" applyFont="1" applyFill="1" applyProtection="1"/>
    <xf numFmtId="37" fontId="0" fillId="0" borderId="0" xfId="0" applyFont="1" applyFill="1" applyAlignment="1" applyProtection="1">
      <alignment horizontal="left"/>
    </xf>
    <xf numFmtId="37" fontId="1" fillId="0" borderId="0" xfId="0" applyFont="1" applyFill="1" applyAlignment="1">
      <alignment horizontal="left" indent="1"/>
    </xf>
    <xf numFmtId="37" fontId="2" fillId="0" borderId="0" xfId="0" applyNumberFormat="1" applyFont="1" applyFill="1" applyProtection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n%20Utility%20Business%20Services\FY%202001\Jun%2001\Energy%20Services%20Companies-Retail\Check%20Request%20Jun%2001%20Pm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eral%20Ledger%20Accounting\ADI%20Vouchers\Amanda's%20ADI%20Vouchers\FY2013\January%202013\Uploaded\010-109%20MTM%20Jan-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very/Kentucky/2017-00349%20(2017%20Kentucky%20Rate%20Case)/Staff%20Attachments/Staff_1-71%20-%20Model%20Workpapers%20in%20Excel/2017%20KY%20Rev%20Req%20Model%20-%20Clean%20with%20external%20lin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Lists"/>
      <sheetName val="Check Request Form"/>
      <sheetName val="Sheet1"/>
    </sheetNames>
    <sheetDataSet>
      <sheetData sheetId="0" refreshError="1">
        <row r="2">
          <cell r="A2" t="str">
            <v>Atmos Exploration &amp; Production, Inc. (frmly WKGR)</v>
          </cell>
        </row>
        <row r="3">
          <cell r="A3" t="str">
            <v xml:space="preserve">Atmos Energy Marketing, LLC </v>
          </cell>
          <cell r="G3" t="str">
            <v>Meals and Ent.</v>
          </cell>
          <cell r="J3" t="str">
            <v>Separate Check and Special Handle</v>
          </cell>
          <cell r="N3" t="str">
            <v>Standard</v>
          </cell>
        </row>
        <row r="4">
          <cell r="A4" t="str">
            <v>Atmos Leasing, Inc.</v>
          </cell>
          <cell r="G4" t="str">
            <v>Travel</v>
          </cell>
          <cell r="J4" t="str">
            <v>Special Handle</v>
          </cell>
          <cell r="N4" t="str">
            <v>Recurring Payment</v>
          </cell>
        </row>
        <row r="5">
          <cell r="A5" t="str">
            <v>Atmos Storage, Inc.</v>
          </cell>
          <cell r="G5" t="str">
            <v>Lodging</v>
          </cell>
          <cell r="J5" t="str">
            <v xml:space="preserve">Separate Check </v>
          </cell>
          <cell r="N5" t="str">
            <v>One Time Payment to Vendor</v>
          </cell>
        </row>
        <row r="6">
          <cell r="A6" t="str">
            <v>Atmos Energy Corporation (Shared Scvs or Non-Reg Shared Svcs)</v>
          </cell>
          <cell r="G6" t="str">
            <v>Other Employee Exp.</v>
          </cell>
          <cell r="J6" t="str">
            <v>Other</v>
          </cell>
          <cell r="N6" t="str">
            <v>Customer Mail Refund</v>
          </cell>
        </row>
        <row r="7">
          <cell r="A7" t="str">
            <v>Atmos Energy Services, Inc.</v>
          </cell>
          <cell r="G7" t="str">
            <v>Political Activities</v>
          </cell>
          <cell r="N7" t="str">
            <v>Main Extension Contract Refund</v>
          </cell>
        </row>
        <row r="8">
          <cell r="A8" t="str">
            <v>Egasco, LLC</v>
          </cell>
          <cell r="G8" t="str">
            <v>Spousal &amp; Dep. Travel</v>
          </cell>
          <cell r="N8" t="str">
            <v>Prepayment (Exp. Advance) (no account coding)</v>
          </cell>
        </row>
        <row r="9">
          <cell r="A9" t="str">
            <v>Energas Company</v>
          </cell>
          <cell r="G9" t="str">
            <v>Personal Veh Mileage</v>
          </cell>
        </row>
        <row r="10">
          <cell r="A10" t="str">
            <v>Energas Energy ServicesTrust</v>
          </cell>
          <cell r="G10" t="str">
            <v>MEC (Main Ext. Contract)</v>
          </cell>
        </row>
        <row r="11">
          <cell r="A11" t="str">
            <v>Enertrust, Inc.(frmly Enermart, Inc )</v>
          </cell>
          <cell r="G11" t="str">
            <v>Vehicle Expense</v>
          </cell>
        </row>
        <row r="12">
          <cell r="A12" t="str">
            <v>Enermart Energy Services Trust (frmly Enermart Trust)</v>
          </cell>
        </row>
        <row r="13">
          <cell r="A13" t="str">
            <v>Greeley Gas Company</v>
          </cell>
        </row>
        <row r="14">
          <cell r="A14" t="str">
            <v>Greeley Energy Services, Inc.</v>
          </cell>
        </row>
        <row r="15">
          <cell r="A15" t="str">
            <v>Trans Louisiana Gas Company</v>
          </cell>
        </row>
        <row r="16">
          <cell r="A16" t="str">
            <v>Trans Louisiana Industrial Gas Company, Inc.(TLIG)</v>
          </cell>
        </row>
        <row r="17">
          <cell r="A17" t="str">
            <v>Trans Louisiana Energy Services, Inc.</v>
          </cell>
        </row>
        <row r="18">
          <cell r="A18" t="str">
            <v>United Cities Gas Company</v>
          </cell>
        </row>
        <row r="19">
          <cell r="A19" t="str">
            <v>United Cities Energy Services, Inc.</v>
          </cell>
        </row>
        <row r="20">
          <cell r="A20" t="str">
            <v>UCG Storage, Inc.</v>
          </cell>
        </row>
        <row r="21">
          <cell r="A21" t="str">
            <v>Western Kentucky Gas Company</v>
          </cell>
        </row>
        <row r="22">
          <cell r="A22" t="str">
            <v>Western Kentucky Energy Services, Inc.</v>
          </cell>
        </row>
        <row r="23">
          <cell r="A23" t="str">
            <v>WKG Storage, Inc.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G"/>
      <sheetName val="Sheet1 (2)"/>
      <sheetName val="with formulas"/>
      <sheetName val="Oct 14 Swaps"/>
      <sheetName val="Jun 17 Swaps"/>
      <sheetName val="T Lock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ation"/>
      <sheetName val="Cover A"/>
      <sheetName val="A.1"/>
      <sheetName val="Cover B"/>
      <sheetName val="B.1 B"/>
      <sheetName val="B.1 F "/>
      <sheetName val="B.2 F"/>
      <sheetName val="B.2 B"/>
      <sheetName val="B.3 B"/>
      <sheetName val="B.3 F"/>
      <sheetName val="B.3.1 F"/>
      <sheetName val="B.4 B"/>
      <sheetName val="B.4 F"/>
      <sheetName val="B.4.1 B"/>
      <sheetName val="B.4.1 F"/>
      <sheetName val="B.4.2 B"/>
      <sheetName val="B.4.2 F"/>
      <sheetName val="B.5 B"/>
      <sheetName val="B.5 F"/>
      <sheetName val="B.6 B"/>
      <sheetName val="B.6 F"/>
      <sheetName val="WP B.4.1F"/>
      <sheetName val="WP B.4.1B"/>
      <sheetName val="WP B.5 B"/>
      <sheetName val="WP B.5 F"/>
      <sheetName val="WP B.6 B"/>
      <sheetName val="WP B.6 F"/>
      <sheetName val="Cover C"/>
      <sheetName val="C.1"/>
      <sheetName val="C.2"/>
      <sheetName val="C.2.1 B"/>
      <sheetName val="C.2.1 F"/>
      <sheetName val="C.2.2 B 09"/>
      <sheetName val="C.2.2 B 02"/>
      <sheetName val="C.2.2 B 12"/>
      <sheetName val="C.2.2 B 91"/>
      <sheetName val="C.2.2-F 09"/>
      <sheetName val="C.2.2-F 02"/>
      <sheetName val="C.2.2-F 12"/>
      <sheetName val="C.2.2-F 91"/>
      <sheetName val="C.2.3 B"/>
      <sheetName val="C.2.3 F"/>
      <sheetName val="Cover D"/>
      <sheetName val="D.1"/>
      <sheetName val="D.2.1"/>
      <sheetName val="D.2.2"/>
      <sheetName val="D.2.3"/>
      <sheetName val="Cover E"/>
      <sheetName val="E"/>
      <sheetName val="Cover F"/>
      <sheetName val="F.1"/>
      <sheetName val="F.2.1"/>
      <sheetName val="F.2.2"/>
      <sheetName val="F.2.3"/>
      <sheetName val="F.3"/>
      <sheetName val="F.4"/>
      <sheetName val="F.5"/>
      <sheetName val="F.6"/>
      <sheetName val="F.7"/>
      <sheetName val="F.8"/>
      <sheetName val="F.9"/>
      <sheetName val="F.10"/>
      <sheetName val="G.1"/>
      <sheetName val="G.2"/>
      <sheetName val="G.3"/>
      <sheetName val="H.1"/>
      <sheetName val="I.1"/>
      <sheetName val="I.2"/>
      <sheetName val="I.3"/>
      <sheetName val="J-1 Base"/>
      <sheetName val="J-2 B"/>
      <sheetName val="J-3 B"/>
      <sheetName val="J-4"/>
      <sheetName val="J.1"/>
      <sheetName val="J-1 F"/>
      <sheetName val="J-2 F"/>
      <sheetName val="J-3 F"/>
      <sheetName val="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7">
          <cell r="G17">
            <v>778.86765676968594</v>
          </cell>
          <cell r="H17">
            <v>778.86765676968594</v>
          </cell>
        </row>
        <row r="18">
          <cell r="G18">
            <v>0</v>
          </cell>
          <cell r="H18">
            <v>0</v>
          </cell>
        </row>
        <row r="19">
          <cell r="G19">
            <v>14279.673914722802</v>
          </cell>
          <cell r="H19">
            <v>14141.695432716124</v>
          </cell>
        </row>
        <row r="20">
          <cell r="G20">
            <v>31807.960000000003</v>
          </cell>
          <cell r="H20">
            <v>31807.960000000003</v>
          </cell>
        </row>
        <row r="21">
          <cell r="G21">
            <v>588244.25114979537</v>
          </cell>
          <cell r="H21">
            <v>522189.74230903795</v>
          </cell>
        </row>
        <row r="22">
          <cell r="G22">
            <v>44020.840179115614</v>
          </cell>
          <cell r="H22">
            <v>40685.676173441512</v>
          </cell>
        </row>
        <row r="26">
          <cell r="G26">
            <v>199948.56440244839</v>
          </cell>
          <cell r="H26">
            <v>191190.4908893806</v>
          </cell>
        </row>
        <row r="29">
          <cell r="G29">
            <v>27493.203263484462</v>
          </cell>
          <cell r="H29">
            <v>27493.203263484462</v>
          </cell>
        </row>
        <row r="40">
          <cell r="G40">
            <v>242504.31246159747</v>
          </cell>
          <cell r="H40">
            <v>242504.31246159747</v>
          </cell>
        </row>
        <row r="41">
          <cell r="G41">
            <v>3066734.19575</v>
          </cell>
          <cell r="H41">
            <v>3066734.19575</v>
          </cell>
        </row>
        <row r="43">
          <cell r="G43">
            <v>3668227.0974676916</v>
          </cell>
          <cell r="H43">
            <v>3901710.1031300002</v>
          </cell>
        </row>
        <row r="48">
          <cell r="G48">
            <v>170729.2759114207</v>
          </cell>
          <cell r="H48">
            <v>156713.24688095582</v>
          </cell>
        </row>
        <row r="50">
          <cell r="G50">
            <v>133001.10398819021</v>
          </cell>
          <cell r="H50">
            <v>116237.59687463182</v>
          </cell>
        </row>
        <row r="53">
          <cell r="G53">
            <v>11613.665650635903</v>
          </cell>
          <cell r="H53">
            <v>13325.966146176934</v>
          </cell>
        </row>
        <row r="54">
          <cell r="G54">
            <v>0</v>
          </cell>
          <cell r="H54">
            <v>0</v>
          </cell>
        </row>
        <row r="57">
          <cell r="G57">
            <v>2087.3508900000002</v>
          </cell>
          <cell r="H57">
            <v>2087.3508900000002</v>
          </cell>
        </row>
        <row r="59">
          <cell r="G59">
            <v>9960.3411920584967</v>
          </cell>
          <cell r="H59">
            <v>8306.0185154064402</v>
          </cell>
        </row>
        <row r="71">
          <cell r="G71">
            <v>1.9900000000000001E-2</v>
          </cell>
          <cell r="H71">
            <v>1.9898265289283203E-2</v>
          </cell>
        </row>
        <row r="72">
          <cell r="G72">
            <v>5.11E-2</v>
          </cell>
          <cell r="H72">
            <v>5.1299999999999998E-2</v>
          </cell>
        </row>
        <row r="79">
          <cell r="G79">
            <v>3.9632661943394925</v>
          </cell>
          <cell r="H79">
            <v>5.0619060440699961</v>
          </cell>
        </row>
        <row r="85">
          <cell r="H85" t="str">
            <v>A2</v>
          </cell>
        </row>
        <row r="86">
          <cell r="H86" t="str">
            <v>A</v>
          </cell>
        </row>
        <row r="119">
          <cell r="G119">
            <v>10026.385522694047</v>
          </cell>
          <cell r="H119">
            <v>9997.1595259268761</v>
          </cell>
        </row>
        <row r="120">
          <cell r="G120">
            <v>4895.8320899999999</v>
          </cell>
          <cell r="H120">
            <v>4895.8320899999999</v>
          </cell>
        </row>
        <row r="121">
          <cell r="G121">
            <v>972.67046000000005</v>
          </cell>
          <cell r="H121">
            <v>972.67046000000016</v>
          </cell>
        </row>
        <row r="122">
          <cell r="G122">
            <v>963.10667000000001</v>
          </cell>
          <cell r="H122">
            <v>963.10667000000001</v>
          </cell>
        </row>
        <row r="123">
          <cell r="G123">
            <v>0</v>
          </cell>
          <cell r="H123">
            <v>0</v>
          </cell>
        </row>
        <row r="132">
          <cell r="G132">
            <v>3.1671145996881644E-2</v>
          </cell>
          <cell r="H132">
            <v>2.958794126568913E-2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36"/>
  <sheetViews>
    <sheetView tabSelected="1" zoomScale="75" zoomScaleNormal="75" workbookViewId="0">
      <pane xSplit="6" ySplit="13" topLeftCell="G29" activePane="bottomRight" state="frozen"/>
      <selection activeCell="Q19" sqref="Q19"/>
      <selection pane="topRight" activeCell="Q19" sqref="Q19"/>
      <selection pane="bottomLeft" activeCell="Q19" sqref="Q19"/>
      <selection pane="bottomRight" activeCell="V19" sqref="V19"/>
    </sheetView>
  </sheetViews>
  <sheetFormatPr defaultColWidth="6.44140625" defaultRowHeight="15"/>
  <cols>
    <col min="1" max="1" width="5.77734375" style="1" customWidth="1"/>
    <col min="2" max="2" width="11.44140625" style="1" customWidth="1"/>
    <col min="3" max="4" width="6.44140625" style="1"/>
    <col min="5" max="5" width="7.109375" style="1" customWidth="1"/>
    <col min="6" max="6" width="7.33203125" style="1" customWidth="1"/>
    <col min="7" max="7" width="11.77734375" style="1" bestFit="1" customWidth="1"/>
    <col min="8" max="8" width="12.44140625" style="1" bestFit="1" customWidth="1"/>
    <col min="9" max="16" width="12.44140625" style="1" customWidth="1"/>
    <col min="17" max="17" width="11.6640625" style="1" customWidth="1"/>
    <col min="18" max="18" width="11.109375" style="1" customWidth="1"/>
    <col min="19" max="19" width="7.109375" style="1" customWidth="1"/>
    <col min="20" max="22" width="6.44140625" style="1"/>
    <col min="23" max="23" width="10.6640625" style="1" customWidth="1"/>
    <col min="24" max="24" width="6.44140625" style="1"/>
    <col min="25" max="25" width="10.6640625" style="1" customWidth="1"/>
    <col min="26" max="16384" width="6.44140625" style="1"/>
  </cols>
  <sheetData>
    <row r="1" spans="1:36">
      <c r="A1" s="35" t="s">
        <v>125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36">
      <c r="A2" s="36" t="s">
        <v>123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7"/>
    </row>
    <row r="3" spans="1:36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8"/>
    </row>
    <row r="4" spans="1:36">
      <c r="A4" s="36" t="s">
        <v>120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36">
      <c r="A5" s="36" t="s">
        <v>122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36">
      <c r="A6" s="35" t="s">
        <v>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36">
      <c r="A7" s="39"/>
    </row>
    <row r="8" spans="1:36">
      <c r="A8" s="40" t="s">
        <v>2</v>
      </c>
      <c r="Q8" s="40"/>
      <c r="R8" s="3" t="s">
        <v>121</v>
      </c>
    </row>
    <row r="9" spans="1:36">
      <c r="A9" s="41" t="s">
        <v>4</v>
      </c>
      <c r="J9" s="1" t="s">
        <v>13</v>
      </c>
      <c r="Q9" s="40"/>
      <c r="R9" s="42" t="s">
        <v>3</v>
      </c>
    </row>
    <row r="10" spans="1:36">
      <c r="A10" s="43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4"/>
      <c r="Q10" s="2"/>
      <c r="R10" s="45" t="s">
        <v>124</v>
      </c>
    </row>
    <row r="12" spans="1:36">
      <c r="A12" s="40" t="s">
        <v>6</v>
      </c>
      <c r="G12" s="39" t="s">
        <v>7</v>
      </c>
      <c r="H12" s="39" t="s">
        <v>8</v>
      </c>
      <c r="I12" s="46" t="s">
        <v>9</v>
      </c>
      <c r="J12" s="46"/>
      <c r="K12" s="46"/>
      <c r="L12" s="46"/>
      <c r="M12" s="46"/>
      <c r="N12" s="46"/>
      <c r="O12" s="46"/>
      <c r="P12" s="46"/>
      <c r="Q12" s="46"/>
      <c r="R12" s="46"/>
    </row>
    <row r="13" spans="1:36">
      <c r="A13" s="43" t="s">
        <v>10</v>
      </c>
      <c r="B13" s="2"/>
      <c r="C13" s="47" t="s">
        <v>11</v>
      </c>
      <c r="D13" s="2"/>
      <c r="E13" s="2"/>
      <c r="F13" s="2"/>
      <c r="G13" s="47" t="s">
        <v>12</v>
      </c>
      <c r="H13" s="47" t="s">
        <v>12</v>
      </c>
      <c r="I13" s="48">
        <v>2016</v>
      </c>
      <c r="J13" s="48">
        <v>2015</v>
      </c>
      <c r="K13" s="48">
        <v>2014</v>
      </c>
      <c r="L13" s="48">
        <v>2013</v>
      </c>
      <c r="M13" s="48">
        <v>2012</v>
      </c>
      <c r="N13" s="48">
        <v>2011</v>
      </c>
      <c r="O13" s="48">
        <v>2010</v>
      </c>
      <c r="P13" s="48">
        <v>2009</v>
      </c>
      <c r="Q13" s="48">
        <v>2008</v>
      </c>
      <c r="R13" s="48">
        <v>2007</v>
      </c>
    </row>
    <row r="14" spans="1:36">
      <c r="R14" s="1" t="s">
        <v>13</v>
      </c>
    </row>
    <row r="15" spans="1:36">
      <c r="A15" s="39">
        <v>1</v>
      </c>
      <c r="B15" s="49" t="s">
        <v>14</v>
      </c>
      <c r="C15" s="50"/>
      <c r="M15" s="3"/>
      <c r="N15" s="3"/>
      <c r="O15" s="3"/>
      <c r="P15" s="3"/>
      <c r="Q15" s="3"/>
      <c r="R15" s="3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>
      <c r="A16" s="39">
        <v>2</v>
      </c>
      <c r="B16" s="40" t="s">
        <v>15</v>
      </c>
      <c r="M16" s="3"/>
      <c r="N16" s="3"/>
      <c r="O16" s="3"/>
      <c r="P16" s="3"/>
      <c r="Q16" s="3"/>
      <c r="R16" s="3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>
      <c r="A17" s="39">
        <v>3</v>
      </c>
      <c r="B17" s="40" t="s">
        <v>16</v>
      </c>
      <c r="G17" s="4">
        <f>[3]K!$G$17</f>
        <v>778.86765676968594</v>
      </c>
      <c r="H17" s="4">
        <f>[3]K!$H$17</f>
        <v>778.86765676968594</v>
      </c>
      <c r="I17" s="4">
        <v>128</v>
      </c>
      <c r="J17" s="4">
        <v>128</v>
      </c>
      <c r="K17" s="4">
        <v>128</v>
      </c>
      <c r="L17" s="4">
        <v>128</v>
      </c>
      <c r="M17" s="5">
        <f>128</f>
        <v>128</v>
      </c>
      <c r="N17" s="5">
        <f>128</f>
        <v>128</v>
      </c>
      <c r="O17" s="5">
        <f>128</f>
        <v>128</v>
      </c>
      <c r="P17" s="5">
        <v>128</v>
      </c>
      <c r="Q17" s="5">
        <v>128</v>
      </c>
      <c r="R17" s="5">
        <v>128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>
      <c r="A18" s="39">
        <v>4</v>
      </c>
      <c r="B18" s="40" t="s">
        <v>17</v>
      </c>
      <c r="G18" s="4">
        <f>[3]K!$G$18</f>
        <v>0</v>
      </c>
      <c r="H18" s="4">
        <f>[3]K!$H$18</f>
        <v>0</v>
      </c>
      <c r="I18" s="4">
        <v>0</v>
      </c>
      <c r="J18" s="4">
        <v>0</v>
      </c>
      <c r="K18" s="4">
        <v>636</v>
      </c>
      <c r="L18" s="4">
        <v>901</v>
      </c>
      <c r="M18" s="5">
        <v>901</v>
      </c>
      <c r="N18" s="5">
        <v>901</v>
      </c>
      <c r="O18" s="5">
        <v>901</v>
      </c>
      <c r="P18" s="5">
        <v>901</v>
      </c>
      <c r="Q18" s="5">
        <v>901</v>
      </c>
      <c r="R18" s="5">
        <v>901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>
      <c r="A19" s="39">
        <v>5</v>
      </c>
      <c r="B19" s="40" t="s">
        <v>18</v>
      </c>
      <c r="G19" s="4">
        <f>[3]K!$G$19</f>
        <v>14279.673914722802</v>
      </c>
      <c r="H19" s="5">
        <f>[3]K!$H$19</f>
        <v>14141.695432716124</v>
      </c>
      <c r="I19" s="4">
        <v>12454</v>
      </c>
      <c r="J19" s="4">
        <v>11560</v>
      </c>
      <c r="K19" s="4">
        <v>10792</v>
      </c>
      <c r="L19" s="4">
        <v>9630</v>
      </c>
      <c r="M19" s="5">
        <f>10104</f>
        <v>10104</v>
      </c>
      <c r="N19" s="5">
        <f>9388</f>
        <v>9388</v>
      </c>
      <c r="O19" s="5">
        <f>7731</f>
        <v>7731</v>
      </c>
      <c r="P19" s="5">
        <v>7540</v>
      </c>
      <c r="Q19" s="5">
        <v>6950</v>
      </c>
      <c r="R19" s="5">
        <v>6878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>
      <c r="A20" s="39">
        <v>6</v>
      </c>
      <c r="B20" s="40" t="s">
        <v>19</v>
      </c>
      <c r="G20" s="4">
        <f>[3]K!$G$20</f>
        <v>31807.960000000003</v>
      </c>
      <c r="H20" s="4">
        <f>[3]K!$H$20</f>
        <v>31807.960000000003</v>
      </c>
      <c r="I20" s="4">
        <v>31814</v>
      </c>
      <c r="J20" s="4">
        <v>31808</v>
      </c>
      <c r="K20" s="4">
        <v>31877</v>
      </c>
      <c r="L20" s="4">
        <v>32962</v>
      </c>
      <c r="M20" s="5">
        <f>32836</f>
        <v>32836</v>
      </c>
      <c r="N20" s="5">
        <f>33144</f>
        <v>33144</v>
      </c>
      <c r="O20" s="5">
        <f>31189</f>
        <v>31189</v>
      </c>
      <c r="P20" s="5">
        <v>31202</v>
      </c>
      <c r="Q20" s="5">
        <v>28807</v>
      </c>
      <c r="R20" s="5">
        <v>28746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>
      <c r="A21" s="39">
        <v>7</v>
      </c>
      <c r="B21" s="40" t="s">
        <v>20</v>
      </c>
      <c r="G21" s="4">
        <f>[3]K!$G$21</f>
        <v>588244.25114979537</v>
      </c>
      <c r="H21" s="4">
        <f>[3]K!$H$21</f>
        <v>522189.74230903795</v>
      </c>
      <c r="I21" s="4">
        <v>472849</v>
      </c>
      <c r="J21" s="4">
        <v>413302</v>
      </c>
      <c r="K21" s="4">
        <v>381623</v>
      </c>
      <c r="L21" s="4">
        <v>340200</v>
      </c>
      <c r="M21" s="5">
        <f>323036</f>
        <v>323036</v>
      </c>
      <c r="N21" s="5">
        <f>296493</f>
        <v>296493</v>
      </c>
      <c r="O21" s="5">
        <f>283474</f>
        <v>283474</v>
      </c>
      <c r="P21" s="5">
        <v>271463</v>
      </c>
      <c r="Q21" s="5">
        <v>260621</v>
      </c>
      <c r="R21" s="5">
        <v>251843</v>
      </c>
    </row>
    <row r="22" spans="1:36">
      <c r="A22" s="39">
        <v>8</v>
      </c>
      <c r="B22" s="40" t="s">
        <v>21</v>
      </c>
      <c r="G22" s="4">
        <f>[3]K!$G$22</f>
        <v>44020.840179115614</v>
      </c>
      <c r="H22" s="4">
        <f>[3]K!$H$22</f>
        <v>40685.676173441512</v>
      </c>
      <c r="I22" s="4">
        <v>21271</v>
      </c>
      <c r="J22" s="4">
        <v>18126</v>
      </c>
      <c r="K22" s="4">
        <v>16683</v>
      </c>
      <c r="L22" s="4">
        <v>15589</v>
      </c>
      <c r="M22" s="5">
        <f>15238</f>
        <v>15238</v>
      </c>
      <c r="N22" s="5">
        <f>16000</f>
        <v>16000</v>
      </c>
      <c r="O22" s="5">
        <f>15103</f>
        <v>15103</v>
      </c>
      <c r="P22" s="5">
        <v>14696</v>
      </c>
      <c r="Q22" s="5">
        <v>15422</v>
      </c>
      <c r="R22" s="5">
        <v>15165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>
      <c r="A23" s="39">
        <v>9</v>
      </c>
      <c r="B23" s="40" t="s">
        <v>22</v>
      </c>
      <c r="G23" s="51"/>
      <c r="H23" s="51"/>
      <c r="I23" s="5">
        <v>3279</v>
      </c>
      <c r="J23" s="5">
        <v>3279</v>
      </c>
      <c r="K23" s="4">
        <v>3279</v>
      </c>
      <c r="L23" s="4">
        <v>3279</v>
      </c>
      <c r="M23" s="5">
        <f>3279</f>
        <v>3279</v>
      </c>
      <c r="N23" s="5">
        <f>3279</f>
        <v>3279</v>
      </c>
      <c r="O23" s="5">
        <f>3337</f>
        <v>3337</v>
      </c>
      <c r="P23" s="5">
        <v>3337</v>
      </c>
      <c r="Q23" s="5">
        <v>3337</v>
      </c>
      <c r="R23" s="5">
        <f>3337</f>
        <v>3337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>
      <c r="A24" s="39">
        <v>10</v>
      </c>
      <c r="B24" s="40" t="s">
        <v>13</v>
      </c>
      <c r="G24" s="6"/>
      <c r="H24" s="6"/>
      <c r="I24" s="6"/>
      <c r="J24" s="6"/>
      <c r="K24" s="6"/>
      <c r="L24" s="6"/>
      <c r="M24" s="7"/>
      <c r="N24" s="7"/>
      <c r="O24" s="7"/>
      <c r="P24" s="7"/>
      <c r="Q24" s="7"/>
      <c r="R24" s="7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>
      <c r="A25" s="39">
        <v>11</v>
      </c>
      <c r="B25" s="40" t="s">
        <v>23</v>
      </c>
      <c r="G25" s="4">
        <f t="shared" ref="G25:H25" si="0">SUM(G17:G24)</f>
        <v>679131.59290040354</v>
      </c>
      <c r="H25" s="4">
        <f t="shared" si="0"/>
        <v>609603.94157196523</v>
      </c>
      <c r="I25" s="5">
        <f t="shared" ref="I25:J25" si="1">SUM(I17:I24)</f>
        <v>541795</v>
      </c>
      <c r="J25" s="5">
        <f t="shared" si="1"/>
        <v>478203</v>
      </c>
      <c r="K25" s="5">
        <f t="shared" ref="K25:R25" si="2">SUM(K17:K24)</f>
        <v>445018</v>
      </c>
      <c r="L25" s="5">
        <f t="shared" si="2"/>
        <v>402689</v>
      </c>
      <c r="M25" s="5">
        <f t="shared" si="2"/>
        <v>385522</v>
      </c>
      <c r="N25" s="5">
        <f t="shared" si="2"/>
        <v>359333</v>
      </c>
      <c r="O25" s="5">
        <f t="shared" si="2"/>
        <v>341863</v>
      </c>
      <c r="P25" s="5">
        <f t="shared" si="2"/>
        <v>329267</v>
      </c>
      <c r="Q25" s="5">
        <f>SUM(Q17:Q24)</f>
        <v>316166</v>
      </c>
      <c r="R25" s="5">
        <f t="shared" si="2"/>
        <v>306998</v>
      </c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>
      <c r="A26" s="39">
        <v>12</v>
      </c>
      <c r="B26" s="40" t="s">
        <v>24</v>
      </c>
      <c r="G26" s="7">
        <f>[3]K!$G$26</f>
        <v>199948.56440244839</v>
      </c>
      <c r="H26" s="33">
        <f>[3]K!$H$26</f>
        <v>191190.4908893806</v>
      </c>
      <c r="I26" s="7">
        <v>167228</v>
      </c>
      <c r="J26" s="7">
        <v>165298</v>
      </c>
      <c r="K26" s="7">
        <v>160839</v>
      </c>
      <c r="L26" s="7">
        <v>158300</v>
      </c>
      <c r="M26" s="7">
        <f>151849</f>
        <v>151849</v>
      </c>
      <c r="N26" s="7">
        <f>150795</f>
        <v>150795</v>
      </c>
      <c r="O26" s="7">
        <f>147462</f>
        <v>147462</v>
      </c>
      <c r="P26" s="7">
        <f>144016</f>
        <v>144016</v>
      </c>
      <c r="Q26" s="7">
        <v>139212</v>
      </c>
      <c r="R26" s="7">
        <v>134463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>
      <c r="A27" s="39">
        <v>13</v>
      </c>
      <c r="B27" s="40" t="s">
        <v>25</v>
      </c>
      <c r="G27" s="4">
        <f t="shared" ref="G27:H27" si="3">G25-G26</f>
        <v>479183.02849795518</v>
      </c>
      <c r="H27" s="52">
        <f t="shared" si="3"/>
        <v>418413.45068258466</v>
      </c>
      <c r="I27" s="5">
        <f t="shared" ref="I27:R27" si="4">I25-I26</f>
        <v>374567</v>
      </c>
      <c r="J27" s="5">
        <f t="shared" si="4"/>
        <v>312905</v>
      </c>
      <c r="K27" s="5">
        <f t="shared" si="4"/>
        <v>284179</v>
      </c>
      <c r="L27" s="5">
        <f t="shared" si="4"/>
        <v>244389</v>
      </c>
      <c r="M27" s="5">
        <f t="shared" si="4"/>
        <v>233673</v>
      </c>
      <c r="N27" s="5">
        <f t="shared" si="4"/>
        <v>208538</v>
      </c>
      <c r="O27" s="5">
        <f t="shared" si="4"/>
        <v>194401</v>
      </c>
      <c r="P27" s="5">
        <f t="shared" si="4"/>
        <v>185251</v>
      </c>
      <c r="Q27" s="5">
        <f>Q25-Q26</f>
        <v>176954</v>
      </c>
      <c r="R27" s="5">
        <f t="shared" si="4"/>
        <v>172535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>
      <c r="A28" s="39">
        <v>14</v>
      </c>
      <c r="G28" s="4"/>
      <c r="H28" s="4"/>
      <c r="I28" s="4"/>
      <c r="J28" s="4"/>
      <c r="K28" s="4"/>
      <c r="L28" s="4"/>
      <c r="M28" s="5"/>
      <c r="N28" s="5"/>
      <c r="O28" s="5"/>
      <c r="P28" s="5"/>
      <c r="Q28" s="5"/>
      <c r="R28" s="5"/>
    </row>
    <row r="29" spans="1:36">
      <c r="A29" s="39">
        <v>15</v>
      </c>
      <c r="B29" s="40" t="s">
        <v>26</v>
      </c>
      <c r="G29" s="4">
        <f>[3]K!$G$29</f>
        <v>27493.203263484462</v>
      </c>
      <c r="H29" s="4">
        <f>[3]K!$H$29</f>
        <v>27493.203263484462</v>
      </c>
      <c r="I29" s="4">
        <v>10146.378000000001</v>
      </c>
      <c r="J29" s="4">
        <v>26310.035</v>
      </c>
      <c r="K29" s="4">
        <v>12708</v>
      </c>
      <c r="L29" s="4">
        <v>16578</v>
      </c>
      <c r="M29" s="5">
        <v>6006</v>
      </c>
      <c r="N29" s="5">
        <v>3306</v>
      </c>
      <c r="O29" s="5">
        <v>7197</v>
      </c>
      <c r="P29" s="5">
        <v>4851</v>
      </c>
      <c r="Q29" s="5">
        <v>5215</v>
      </c>
      <c r="R29" s="5">
        <v>1897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>
      <c r="A30" s="39">
        <v>16</v>
      </c>
      <c r="B30" s="40" t="s">
        <v>13</v>
      </c>
      <c r="G30" s="52"/>
      <c r="H30" s="52"/>
      <c r="I30" s="4"/>
      <c r="J30" s="4"/>
      <c r="K30" s="4"/>
      <c r="L30" s="4"/>
      <c r="M30" s="5"/>
      <c r="N30" s="5"/>
      <c r="O30" s="5"/>
      <c r="P30" s="5"/>
      <c r="Q30" s="5"/>
      <c r="R30" s="5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>
      <c r="A31" s="39">
        <v>17</v>
      </c>
      <c r="B31" s="40" t="s">
        <v>27</v>
      </c>
      <c r="G31" s="52">
        <f t="shared" ref="G31:R31" si="5">SUM(G29:G30)</f>
        <v>27493.203263484462</v>
      </c>
      <c r="H31" s="52">
        <f t="shared" si="5"/>
        <v>27493.203263484462</v>
      </c>
      <c r="I31" s="5">
        <f t="shared" si="5"/>
        <v>10146.378000000001</v>
      </c>
      <c r="J31" s="5">
        <f t="shared" si="5"/>
        <v>26310.035</v>
      </c>
      <c r="K31" s="5">
        <f t="shared" si="5"/>
        <v>12708</v>
      </c>
      <c r="L31" s="5">
        <f t="shared" si="5"/>
        <v>16578</v>
      </c>
      <c r="M31" s="5">
        <f t="shared" si="5"/>
        <v>6006</v>
      </c>
      <c r="N31" s="5">
        <f t="shared" si="5"/>
        <v>3306</v>
      </c>
      <c r="O31" s="5">
        <f t="shared" si="5"/>
        <v>7197</v>
      </c>
      <c r="P31" s="5">
        <f t="shared" si="5"/>
        <v>4851</v>
      </c>
      <c r="Q31" s="5">
        <f t="shared" si="5"/>
        <v>5215</v>
      </c>
      <c r="R31" s="5">
        <f t="shared" si="5"/>
        <v>1897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>
      <c r="A32" s="39">
        <v>18</v>
      </c>
      <c r="G32" s="4"/>
      <c r="H32" s="4"/>
      <c r="I32" s="4"/>
      <c r="J32" s="4"/>
      <c r="K32" s="4"/>
      <c r="L32" s="4"/>
      <c r="M32" s="5"/>
      <c r="N32" s="5"/>
      <c r="O32" s="5"/>
      <c r="P32" s="5"/>
      <c r="Q32" s="5"/>
      <c r="R32" s="5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>
      <c r="A33" s="39">
        <v>19</v>
      </c>
      <c r="B33" s="40" t="s">
        <v>28</v>
      </c>
      <c r="G33" s="8">
        <f t="shared" ref="G33:R33" si="6">G27+G31</f>
        <v>506676.23176143965</v>
      </c>
      <c r="H33" s="8">
        <f t="shared" si="6"/>
        <v>445906.65394606913</v>
      </c>
      <c r="I33" s="8">
        <f t="shared" si="6"/>
        <v>384713.37800000003</v>
      </c>
      <c r="J33" s="8">
        <f t="shared" si="6"/>
        <v>339215.03499999997</v>
      </c>
      <c r="K33" s="8">
        <f t="shared" si="6"/>
        <v>296887</v>
      </c>
      <c r="L33" s="8">
        <f t="shared" si="6"/>
        <v>260967</v>
      </c>
      <c r="M33" s="8">
        <f t="shared" si="6"/>
        <v>239679</v>
      </c>
      <c r="N33" s="8">
        <f t="shared" si="6"/>
        <v>211844</v>
      </c>
      <c r="O33" s="8">
        <f t="shared" si="6"/>
        <v>201598</v>
      </c>
      <c r="P33" s="8">
        <f t="shared" si="6"/>
        <v>190102</v>
      </c>
      <c r="Q33" s="8">
        <f t="shared" si="6"/>
        <v>182169</v>
      </c>
      <c r="R33" s="8">
        <f t="shared" si="6"/>
        <v>174432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>
      <c r="A34" s="39">
        <v>20</v>
      </c>
      <c r="G34" s="4"/>
      <c r="M34" s="3"/>
      <c r="N34" s="3"/>
      <c r="O34" s="3"/>
      <c r="P34" s="3"/>
      <c r="Q34" s="5"/>
      <c r="R34" s="5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>
      <c r="A35" s="39">
        <v>21</v>
      </c>
      <c r="B35" s="40" t="s">
        <v>29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>
      <c r="A36" s="39">
        <v>22</v>
      </c>
      <c r="M36" s="3"/>
      <c r="N36" s="3"/>
      <c r="O36" s="3"/>
      <c r="P36" s="3"/>
      <c r="Q36" s="3"/>
      <c r="R36" s="3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>
      <c r="A37" s="39">
        <v>23</v>
      </c>
      <c r="M37" s="3"/>
      <c r="N37" s="3"/>
      <c r="O37" s="3"/>
      <c r="P37" s="3"/>
      <c r="Q37" s="3"/>
      <c r="R37" s="3"/>
    </row>
    <row r="38" spans="1:36">
      <c r="A38" s="39">
        <v>24</v>
      </c>
      <c r="B38" s="53" t="s">
        <v>30</v>
      </c>
      <c r="M38" s="3"/>
      <c r="N38" s="3"/>
      <c r="O38" s="3"/>
      <c r="P38" s="3"/>
      <c r="Q38" s="3"/>
      <c r="R38" s="3"/>
      <c r="S38" s="4"/>
      <c r="T38" s="4"/>
      <c r="U38" s="4"/>
      <c r="AA38" s="54"/>
    </row>
    <row r="39" spans="1:36">
      <c r="A39" s="39">
        <v>25</v>
      </c>
      <c r="B39" s="49" t="s">
        <v>31</v>
      </c>
      <c r="C39" s="50"/>
      <c r="D39" s="50"/>
      <c r="M39" s="3"/>
      <c r="N39" s="3"/>
      <c r="O39" s="3"/>
      <c r="P39" s="3"/>
      <c r="Q39" s="3"/>
      <c r="R39" s="3"/>
      <c r="S39" s="4"/>
      <c r="T39" s="4"/>
      <c r="U39" s="4"/>
      <c r="X39" s="54"/>
      <c r="AA39" s="54"/>
      <c r="AC39" s="54"/>
      <c r="AD39" s="54"/>
      <c r="AE39" s="54"/>
      <c r="AF39" s="54"/>
      <c r="AG39" s="54"/>
      <c r="AH39" s="54"/>
    </row>
    <row r="40" spans="1:36">
      <c r="A40" s="39">
        <v>26</v>
      </c>
      <c r="B40" s="40" t="s">
        <v>32</v>
      </c>
      <c r="G40" s="10">
        <f>[3]K!$G$40</f>
        <v>242504.31246159747</v>
      </c>
      <c r="H40" s="10">
        <f>[3]K!$H$40</f>
        <v>242504.31246159747</v>
      </c>
      <c r="I40" s="10">
        <v>829811</v>
      </c>
      <c r="J40" s="10">
        <v>457927</v>
      </c>
      <c r="K40" s="10">
        <v>196695</v>
      </c>
      <c r="L40" s="10">
        <v>367984</v>
      </c>
      <c r="M40" s="10">
        <v>570929</v>
      </c>
      <c r="N40" s="10">
        <v>206396</v>
      </c>
      <c r="O40" s="10">
        <v>126100</v>
      </c>
      <c r="P40" s="10">
        <v>72550</v>
      </c>
      <c r="Q40" s="10">
        <v>350542</v>
      </c>
      <c r="R40" s="10">
        <v>150599</v>
      </c>
      <c r="S40" s="4"/>
      <c r="X40" s="54"/>
      <c r="Z40" s="54"/>
      <c r="AA40" s="54"/>
      <c r="AC40" s="54"/>
      <c r="AD40" s="54"/>
      <c r="AE40" s="54"/>
      <c r="AF40" s="54"/>
      <c r="AG40" s="54"/>
      <c r="AH40" s="54"/>
    </row>
    <row r="41" spans="1:36">
      <c r="A41" s="39">
        <v>27</v>
      </c>
      <c r="B41" s="40" t="s">
        <v>33</v>
      </c>
      <c r="G41" s="10">
        <f>[3]K!$G$41</f>
        <v>3066734.19575</v>
      </c>
      <c r="H41" s="10">
        <f>[3]K!$H$41</f>
        <v>3066734.19575</v>
      </c>
      <c r="I41" s="10">
        <v>2438779</v>
      </c>
      <c r="J41" s="10">
        <v>2437515</v>
      </c>
      <c r="K41" s="10">
        <v>2455986</v>
      </c>
      <c r="L41" s="10">
        <v>2455671</v>
      </c>
      <c r="M41" s="10">
        <v>1956305</v>
      </c>
      <c r="N41" s="10">
        <v>2206117</v>
      </c>
      <c r="O41" s="10">
        <v>1809551</v>
      </c>
      <c r="P41" s="10">
        <v>2169400</v>
      </c>
      <c r="Q41" s="10">
        <v>2119792</v>
      </c>
      <c r="R41" s="10">
        <v>2126315</v>
      </c>
      <c r="AA41" s="54"/>
    </row>
    <row r="42" spans="1:36">
      <c r="A42" s="39">
        <v>28</v>
      </c>
      <c r="B42" s="40" t="s">
        <v>34</v>
      </c>
      <c r="G42" s="11">
        <f>[3]K!$G$42</f>
        <v>0</v>
      </c>
      <c r="H42" s="11">
        <f>[3]K!$H$42</f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X42" s="54"/>
      <c r="AA42" s="54"/>
      <c r="AC42" s="54"/>
      <c r="AD42" s="54"/>
      <c r="AE42" s="54"/>
      <c r="AF42" s="54"/>
      <c r="AG42" s="54"/>
      <c r="AH42" s="54"/>
    </row>
    <row r="43" spans="1:36">
      <c r="A43" s="39">
        <v>29</v>
      </c>
      <c r="B43" s="40" t="s">
        <v>35</v>
      </c>
      <c r="G43" s="12">
        <f>[3]K!$G$43</f>
        <v>3668227.0974676916</v>
      </c>
      <c r="H43" s="12">
        <f>[3]K!$H$43</f>
        <v>3901710.1031300002</v>
      </c>
      <c r="I43" s="12">
        <v>3463059</v>
      </c>
      <c r="J43" s="12">
        <v>3194797</v>
      </c>
      <c r="K43" s="12">
        <v>3086232</v>
      </c>
      <c r="L43" s="12">
        <v>2580409</v>
      </c>
      <c r="M43" s="12">
        <v>2359243</v>
      </c>
      <c r="N43" s="12">
        <v>2255421</v>
      </c>
      <c r="O43" s="12">
        <v>2178348</v>
      </c>
      <c r="P43" s="12">
        <f>2176761</f>
        <v>2176761</v>
      </c>
      <c r="Q43" s="12">
        <v>2052492</v>
      </c>
      <c r="R43" s="12">
        <v>1965754</v>
      </c>
      <c r="AA43" s="54"/>
    </row>
    <row r="44" spans="1:36">
      <c r="A44" s="39">
        <v>30</v>
      </c>
      <c r="G44" s="4"/>
      <c r="H44" s="4"/>
      <c r="I44" s="4"/>
      <c r="J44" s="4"/>
      <c r="K44" s="4"/>
      <c r="L44" s="4"/>
      <c r="M44" s="5"/>
      <c r="N44" s="5"/>
      <c r="O44" s="5"/>
      <c r="P44" s="5"/>
      <c r="Q44" s="5"/>
      <c r="R44" s="5"/>
      <c r="X44" s="54"/>
      <c r="Z44" s="54"/>
      <c r="AA44" s="54"/>
      <c r="AC44" s="54"/>
      <c r="AD44" s="54"/>
      <c r="AE44" s="54"/>
      <c r="AF44" s="54"/>
      <c r="AG44" s="54"/>
      <c r="AH44" s="54"/>
    </row>
    <row r="45" spans="1:36">
      <c r="A45" s="39">
        <v>31</v>
      </c>
      <c r="B45" s="40" t="s">
        <v>28</v>
      </c>
      <c r="G45" s="4">
        <f t="shared" ref="G45:H45" si="7">SUM(G40:G43)</f>
        <v>6977465.6056792885</v>
      </c>
      <c r="H45" s="4">
        <f t="shared" si="7"/>
        <v>7210948.6113415975</v>
      </c>
      <c r="I45" s="8">
        <f t="shared" ref="I45:R45" si="8">SUM(I40:I43)</f>
        <v>6731649</v>
      </c>
      <c r="J45" s="8">
        <f t="shared" si="8"/>
        <v>6090239</v>
      </c>
      <c r="K45" s="8">
        <f t="shared" si="8"/>
        <v>5738913</v>
      </c>
      <c r="L45" s="8">
        <f t="shared" si="8"/>
        <v>5404064</v>
      </c>
      <c r="M45" s="8">
        <f t="shared" si="8"/>
        <v>4886477</v>
      </c>
      <c r="N45" s="8">
        <f t="shared" si="8"/>
        <v>4667934</v>
      </c>
      <c r="O45" s="8">
        <f t="shared" si="8"/>
        <v>4113999</v>
      </c>
      <c r="P45" s="8">
        <f t="shared" si="8"/>
        <v>4418711</v>
      </c>
      <c r="Q45" s="8">
        <f t="shared" si="8"/>
        <v>4522826</v>
      </c>
      <c r="R45" s="8">
        <f t="shared" si="8"/>
        <v>4242668</v>
      </c>
      <c r="AA45" s="54"/>
    </row>
    <row r="46" spans="1:36">
      <c r="A46" s="39">
        <v>32</v>
      </c>
      <c r="G46" s="4"/>
      <c r="H46" s="4"/>
      <c r="I46" s="4"/>
      <c r="J46" s="4"/>
      <c r="K46" s="4"/>
      <c r="L46" s="4"/>
      <c r="M46" s="5"/>
      <c r="N46" s="5"/>
      <c r="O46" s="5"/>
      <c r="P46" s="5"/>
      <c r="Q46" s="5"/>
      <c r="R46" s="5"/>
      <c r="X46" s="54"/>
      <c r="Z46" s="54"/>
      <c r="AA46" s="54"/>
      <c r="AB46" s="54"/>
      <c r="AC46" s="54"/>
      <c r="AD46" s="54"/>
      <c r="AE46" s="54"/>
      <c r="AF46" s="54"/>
      <c r="AG46" s="54"/>
      <c r="AH46" s="54"/>
    </row>
    <row r="47" spans="1:36">
      <c r="A47" s="39">
        <v>33</v>
      </c>
      <c r="B47" s="49" t="s">
        <v>36</v>
      </c>
      <c r="C47" s="50"/>
      <c r="D47" s="50"/>
      <c r="E47" s="50"/>
      <c r="F47" s="50"/>
      <c r="G47" s="4"/>
      <c r="H47" s="4"/>
      <c r="I47" s="4"/>
      <c r="J47" s="4"/>
      <c r="K47" s="4"/>
      <c r="L47" s="4"/>
      <c r="M47" s="5"/>
      <c r="N47" s="5"/>
      <c r="O47" s="5"/>
      <c r="P47" s="5"/>
      <c r="Q47" s="5"/>
      <c r="R47" s="5"/>
      <c r="AA47" s="54"/>
    </row>
    <row r="48" spans="1:36">
      <c r="A48" s="39">
        <v>34</v>
      </c>
      <c r="B48" s="40" t="s">
        <v>37</v>
      </c>
      <c r="G48" s="13">
        <f>[3]K!$G$48</f>
        <v>170729.2759114207</v>
      </c>
      <c r="H48" s="13">
        <f>[3]K!$H$48</f>
        <v>156713.24688095582</v>
      </c>
      <c r="I48" s="13">
        <v>147431</v>
      </c>
      <c r="J48" s="13">
        <v>170468</v>
      </c>
      <c r="K48" s="13">
        <v>196882</v>
      </c>
      <c r="L48" s="13">
        <v>162968</v>
      </c>
      <c r="M48" s="10">
        <f>134778</f>
        <v>134778</v>
      </c>
      <c r="N48" s="10">
        <f>149662</f>
        <v>149662</v>
      </c>
      <c r="O48" s="10">
        <f>156816</f>
        <v>156816</v>
      </c>
      <c r="P48" s="10">
        <v>190356</v>
      </c>
      <c r="Q48" s="10">
        <v>244308.47516</v>
      </c>
      <c r="R48" s="10">
        <v>203286.68382000001</v>
      </c>
      <c r="AA48" s="54"/>
    </row>
    <row r="49" spans="1:34">
      <c r="A49" s="39">
        <v>35</v>
      </c>
      <c r="B49" s="40" t="s">
        <v>38</v>
      </c>
      <c r="G49" s="4"/>
      <c r="H49" s="4"/>
      <c r="I49" s="4"/>
      <c r="J49" s="4"/>
      <c r="K49" s="4"/>
      <c r="L49" s="4"/>
      <c r="M49" s="5"/>
      <c r="N49" s="5"/>
      <c r="O49" s="5"/>
      <c r="P49" s="5"/>
      <c r="Q49" s="5"/>
      <c r="R49" s="5"/>
      <c r="X49" s="54"/>
      <c r="Z49" s="54"/>
      <c r="AA49" s="54"/>
      <c r="AC49" s="54"/>
      <c r="AD49" s="54"/>
      <c r="AE49" s="54"/>
      <c r="AF49" s="54"/>
      <c r="AG49" s="54"/>
      <c r="AH49" s="54"/>
    </row>
    <row r="50" spans="1:34">
      <c r="A50" s="39">
        <v>36</v>
      </c>
      <c r="B50" s="40" t="s">
        <v>39</v>
      </c>
      <c r="G50" s="13">
        <f>[3]K!$G$50</f>
        <v>133001.10398819021</v>
      </c>
      <c r="H50" s="13">
        <f>[3]K!$H$50</f>
        <v>116237.59687463182</v>
      </c>
      <c r="I50" s="13">
        <v>113447</v>
      </c>
      <c r="J50" s="13">
        <v>141526</v>
      </c>
      <c r="K50" s="13">
        <v>166452</v>
      </c>
      <c r="L50" s="13">
        <v>139358</v>
      </c>
      <c r="M50" s="10">
        <f>112027</f>
        <v>112027</v>
      </c>
      <c r="N50" s="10">
        <f>126219</f>
        <v>126219</v>
      </c>
      <c r="O50" s="10">
        <f>136649</f>
        <v>136649</v>
      </c>
      <c r="P50" s="10">
        <v>176587</v>
      </c>
      <c r="Q50" s="10">
        <v>224347.66394</v>
      </c>
      <c r="R50" s="10">
        <v>187733.05102000001</v>
      </c>
      <c r="Z50" s="54"/>
      <c r="AA50" s="54"/>
    </row>
    <row r="51" spans="1:34">
      <c r="A51" s="39">
        <v>37</v>
      </c>
      <c r="B51" s="40" t="s">
        <v>40</v>
      </c>
      <c r="G51" s="14"/>
      <c r="H51" s="14"/>
      <c r="I51" s="14"/>
      <c r="J51" s="14"/>
      <c r="K51" s="14"/>
      <c r="L51" s="14"/>
      <c r="M51" s="10"/>
      <c r="N51" s="10"/>
      <c r="O51" s="10"/>
      <c r="P51" s="10"/>
      <c r="Q51" s="10"/>
      <c r="R51" s="10"/>
      <c r="X51" s="54"/>
      <c r="Z51" s="54"/>
      <c r="AA51" s="54"/>
      <c r="AC51" s="54"/>
      <c r="AD51" s="54"/>
      <c r="AE51" s="54"/>
      <c r="AF51" s="54"/>
      <c r="AG51" s="54"/>
      <c r="AH51" s="54"/>
    </row>
    <row r="52" spans="1:34">
      <c r="A52" s="39">
        <v>38</v>
      </c>
      <c r="B52" s="40" t="s">
        <v>41</v>
      </c>
      <c r="G52" s="14"/>
      <c r="H52" s="14"/>
      <c r="I52" s="14"/>
      <c r="J52" s="14"/>
      <c r="K52" s="14"/>
      <c r="L52" s="14"/>
      <c r="M52" s="10"/>
      <c r="N52" s="10"/>
      <c r="O52" s="10"/>
      <c r="P52" s="10"/>
      <c r="Q52" s="10"/>
      <c r="R52" s="10"/>
      <c r="Z52" s="54"/>
      <c r="AA52" s="54"/>
    </row>
    <row r="53" spans="1:34">
      <c r="A53" s="39">
        <v>39</v>
      </c>
      <c r="B53" s="40" t="s">
        <v>42</v>
      </c>
      <c r="G53" s="4">
        <f>[3]K!$G$53</f>
        <v>11613.665650635903</v>
      </c>
      <c r="H53" s="4">
        <f>[3]K!$H$53</f>
        <v>13325.966146176934</v>
      </c>
      <c r="I53" s="4">
        <v>9516</v>
      </c>
      <c r="J53" s="4">
        <v>9884</v>
      </c>
      <c r="K53" s="4">
        <v>9671</v>
      </c>
      <c r="L53" s="4">
        <v>7060</v>
      </c>
      <c r="M53" s="5">
        <f>8157</f>
        <v>8157</v>
      </c>
      <c r="N53" s="5">
        <f>8094</f>
        <v>8094</v>
      </c>
      <c r="O53" s="5">
        <f>5654</f>
        <v>5654</v>
      </c>
      <c r="P53" s="5">
        <v>2889</v>
      </c>
      <c r="Q53" s="5">
        <v>6985</v>
      </c>
      <c r="R53" s="5">
        <f>4307</f>
        <v>4307</v>
      </c>
      <c r="X53" s="54"/>
      <c r="Z53" s="54"/>
      <c r="AA53" s="54"/>
      <c r="AC53" s="54"/>
      <c r="AD53" s="54"/>
      <c r="AE53" s="54"/>
      <c r="AF53" s="54"/>
      <c r="AG53" s="54"/>
      <c r="AH53" s="54"/>
    </row>
    <row r="54" spans="1:34">
      <c r="A54" s="39">
        <v>40</v>
      </c>
      <c r="B54" s="40" t="s">
        <v>43</v>
      </c>
      <c r="G54" s="12">
        <f>[3]K!$G$54</f>
        <v>0</v>
      </c>
      <c r="H54" s="12">
        <f>[3]K!$H$54</f>
        <v>0</v>
      </c>
      <c r="I54" s="15"/>
      <c r="J54" s="15"/>
      <c r="K54" s="15"/>
      <c r="L54" s="15"/>
      <c r="M54" s="12"/>
      <c r="N54" s="12"/>
      <c r="O54" s="12"/>
      <c r="P54" s="12"/>
      <c r="Q54" s="12"/>
      <c r="R54" s="12"/>
      <c r="Z54" s="54"/>
      <c r="AA54" s="54"/>
    </row>
    <row r="55" spans="1:34">
      <c r="A55" s="39">
        <v>41</v>
      </c>
      <c r="B55" s="40" t="s">
        <v>44</v>
      </c>
      <c r="G55" s="5">
        <f t="shared" ref="G55:H55" si="9">G48-G50-G53-G54</f>
        <v>26114.506272594586</v>
      </c>
      <c r="H55" s="5">
        <f t="shared" si="9"/>
        <v>27149.683860147059</v>
      </c>
      <c r="I55" s="5">
        <f t="shared" ref="I55:R55" si="10">I48-I50-I53-I54</f>
        <v>24468</v>
      </c>
      <c r="J55" s="5">
        <f t="shared" si="10"/>
        <v>19058</v>
      </c>
      <c r="K55" s="5">
        <f t="shared" si="10"/>
        <v>20759</v>
      </c>
      <c r="L55" s="5">
        <f t="shared" si="10"/>
        <v>16550</v>
      </c>
      <c r="M55" s="5">
        <f t="shared" si="10"/>
        <v>14594</v>
      </c>
      <c r="N55" s="5">
        <f t="shared" si="10"/>
        <v>15349</v>
      </c>
      <c r="O55" s="5">
        <f t="shared" si="10"/>
        <v>14513</v>
      </c>
      <c r="P55" s="5">
        <f t="shared" si="10"/>
        <v>10880</v>
      </c>
      <c r="Q55" s="5">
        <f>Q48-Q50-Q53-Q54</f>
        <v>12975.811220000003</v>
      </c>
      <c r="R55" s="5">
        <f t="shared" si="10"/>
        <v>11246.632799999992</v>
      </c>
      <c r="Z55" s="54"/>
      <c r="AA55" s="54"/>
    </row>
    <row r="56" spans="1:34">
      <c r="A56" s="39">
        <v>42</v>
      </c>
      <c r="B56" s="40" t="s">
        <v>45</v>
      </c>
      <c r="G56" s="10">
        <v>0</v>
      </c>
      <c r="H56" s="10">
        <v>0</v>
      </c>
      <c r="I56" s="13">
        <v>178.96176999999997</v>
      </c>
      <c r="J56" s="13">
        <v>182.35240999999999</v>
      </c>
      <c r="K56" s="10">
        <v>139</v>
      </c>
      <c r="L56" s="10">
        <v>88</v>
      </c>
      <c r="M56" s="10">
        <v>101</v>
      </c>
      <c r="N56" s="10">
        <f>22</f>
        <v>22</v>
      </c>
      <c r="O56" s="10">
        <f>286</f>
        <v>286</v>
      </c>
      <c r="P56" s="10">
        <v>199</v>
      </c>
      <c r="Q56" s="10">
        <v>160</v>
      </c>
      <c r="R56" s="10">
        <v>94</v>
      </c>
      <c r="Z56" s="54"/>
      <c r="AA56" s="54"/>
      <c r="AC56" s="54"/>
      <c r="AD56" s="54"/>
      <c r="AE56" s="54"/>
      <c r="AF56" s="54"/>
      <c r="AG56" s="54"/>
      <c r="AH56" s="54"/>
    </row>
    <row r="57" spans="1:34">
      <c r="A57" s="39">
        <v>43</v>
      </c>
      <c r="B57" s="40" t="s">
        <v>46</v>
      </c>
      <c r="G57" s="12">
        <f>[3]K!$G$57</f>
        <v>2087.3508900000002</v>
      </c>
      <c r="H57" s="12">
        <f>[3]K!$H$57</f>
        <v>2087.3508900000002</v>
      </c>
      <c r="I57" s="16">
        <v>2087.3508899999993</v>
      </c>
      <c r="J57" s="16">
        <v>2063.0607799999993</v>
      </c>
      <c r="K57" s="16">
        <v>2019</v>
      </c>
      <c r="L57" s="16">
        <v>2033</v>
      </c>
      <c r="M57" s="12">
        <f>2046</f>
        <v>2046</v>
      </c>
      <c r="N57" s="12">
        <f>2657</f>
        <v>2657</v>
      </c>
      <c r="O57" s="12">
        <f>1748</f>
        <v>1748</v>
      </c>
      <c r="P57" s="12">
        <v>2278</v>
      </c>
      <c r="Q57" s="12">
        <f>2529</f>
        <v>2529</v>
      </c>
      <c r="R57" s="12">
        <f>1547</f>
        <v>1547</v>
      </c>
    </row>
    <row r="58" spans="1:34">
      <c r="A58" s="39">
        <v>44</v>
      </c>
      <c r="B58" s="40" t="s">
        <v>47</v>
      </c>
      <c r="G58" s="4">
        <f t="shared" ref="G58:H58" si="11">G55+G56+G57</f>
        <v>28201.857162594588</v>
      </c>
      <c r="H58" s="4">
        <f t="shared" si="11"/>
        <v>29237.034750147061</v>
      </c>
      <c r="I58" s="5">
        <f t="shared" ref="I58:O58" si="12">I55+I56+I57</f>
        <v>26734.31266</v>
      </c>
      <c r="J58" s="5">
        <f t="shared" si="12"/>
        <v>21303.413189999999</v>
      </c>
      <c r="K58" s="5">
        <f t="shared" si="12"/>
        <v>22917</v>
      </c>
      <c r="L58" s="5">
        <f t="shared" si="12"/>
        <v>18671</v>
      </c>
      <c r="M58" s="5">
        <f>M55+M56+M57</f>
        <v>16741</v>
      </c>
      <c r="N58" s="5">
        <f t="shared" si="12"/>
        <v>18028</v>
      </c>
      <c r="O58" s="5">
        <f t="shared" si="12"/>
        <v>16547</v>
      </c>
      <c r="P58" s="5">
        <f>P55+P56+P57</f>
        <v>13357</v>
      </c>
      <c r="Q58" s="5">
        <f>Q55+Q56+Q57</f>
        <v>15664.811220000003</v>
      </c>
      <c r="R58" s="5">
        <f>R55+R56+R57</f>
        <v>12887.632799999992</v>
      </c>
    </row>
    <row r="59" spans="1:34">
      <c r="A59" s="39">
        <v>45</v>
      </c>
      <c r="B59" s="40" t="s">
        <v>48</v>
      </c>
      <c r="G59" s="16">
        <f>[3]K!$G$59</f>
        <v>9960.3411920584967</v>
      </c>
      <c r="H59" s="16">
        <f>[3]K!$H$59</f>
        <v>8306.0185154064402</v>
      </c>
      <c r="I59" s="16">
        <v>7556.4154099999996</v>
      </c>
      <c r="J59" s="16">
        <v>6925.9951200000005</v>
      </c>
      <c r="K59" s="16">
        <v>6559</v>
      </c>
      <c r="L59" s="16">
        <v>6524</v>
      </c>
      <c r="M59" s="12">
        <f>5612</f>
        <v>5612</v>
      </c>
      <c r="N59" s="12">
        <f>5792</f>
        <v>5792</v>
      </c>
      <c r="O59" s="12">
        <f>6270</f>
        <v>6270</v>
      </c>
      <c r="P59" s="12">
        <v>6633</v>
      </c>
      <c r="Q59" s="12">
        <f>6138</f>
        <v>6138</v>
      </c>
      <c r="R59" s="12">
        <f>6155</f>
        <v>6155</v>
      </c>
    </row>
    <row r="60" spans="1:34">
      <c r="A60" s="39">
        <v>46</v>
      </c>
      <c r="B60" s="40" t="s">
        <v>49</v>
      </c>
      <c r="G60" s="4">
        <f t="shared" ref="G60:H60" si="13">G58-G59</f>
        <v>18241.515970536093</v>
      </c>
      <c r="H60" s="4">
        <f t="shared" si="13"/>
        <v>20931.016234740622</v>
      </c>
      <c r="I60" s="5">
        <f t="shared" ref="I60:R60" si="14">I58-I59</f>
        <v>19177.897250000002</v>
      </c>
      <c r="J60" s="5">
        <f t="shared" si="14"/>
        <v>14377.41807</v>
      </c>
      <c r="K60" s="5">
        <f t="shared" si="14"/>
        <v>16358</v>
      </c>
      <c r="L60" s="5">
        <f t="shared" si="14"/>
        <v>12147</v>
      </c>
      <c r="M60" s="5">
        <f t="shared" si="14"/>
        <v>11129</v>
      </c>
      <c r="N60" s="5">
        <f t="shared" si="14"/>
        <v>12236</v>
      </c>
      <c r="O60" s="5">
        <f t="shared" si="14"/>
        <v>10277</v>
      </c>
      <c r="P60" s="5">
        <f t="shared" si="14"/>
        <v>6724</v>
      </c>
      <c r="Q60" s="5">
        <f t="shared" si="14"/>
        <v>9526.8112200000032</v>
      </c>
      <c r="R60" s="5">
        <f t="shared" si="14"/>
        <v>6732.6327999999921</v>
      </c>
    </row>
    <row r="61" spans="1:34">
      <c r="A61" s="39">
        <v>47</v>
      </c>
      <c r="B61" s="40" t="s">
        <v>50</v>
      </c>
      <c r="G61" s="17" t="s">
        <v>51</v>
      </c>
      <c r="H61" s="17" t="s">
        <v>51</v>
      </c>
      <c r="I61" s="17" t="s">
        <v>51</v>
      </c>
      <c r="J61" s="17" t="s">
        <v>51</v>
      </c>
      <c r="K61" s="18" t="s">
        <v>51</v>
      </c>
      <c r="L61" s="18" t="s">
        <v>51</v>
      </c>
      <c r="M61" s="18" t="s">
        <v>51</v>
      </c>
      <c r="N61" s="18" t="s">
        <v>51</v>
      </c>
      <c r="O61" s="18" t="s">
        <v>51</v>
      </c>
      <c r="P61" s="18" t="s">
        <v>51</v>
      </c>
      <c r="Q61" s="18" t="s">
        <v>51</v>
      </c>
      <c r="R61" s="18" t="s">
        <v>51</v>
      </c>
    </row>
    <row r="62" spans="1:34">
      <c r="A62" s="39">
        <v>48</v>
      </c>
      <c r="B62" s="40" t="s">
        <v>52</v>
      </c>
      <c r="G62" s="8">
        <f t="shared" ref="G62:H62" si="15">G60</f>
        <v>18241.515970536093</v>
      </c>
      <c r="H62" s="8">
        <f t="shared" si="15"/>
        <v>20931.016234740622</v>
      </c>
      <c r="I62" s="8">
        <f t="shared" ref="I62:R62" si="16">I60</f>
        <v>19177.897250000002</v>
      </c>
      <c r="J62" s="8">
        <f t="shared" si="16"/>
        <v>14377.41807</v>
      </c>
      <c r="K62" s="8">
        <f t="shared" si="16"/>
        <v>16358</v>
      </c>
      <c r="L62" s="8">
        <f t="shared" si="16"/>
        <v>12147</v>
      </c>
      <c r="M62" s="8">
        <f t="shared" si="16"/>
        <v>11129</v>
      </c>
      <c r="N62" s="8">
        <f t="shared" si="16"/>
        <v>12236</v>
      </c>
      <c r="O62" s="8">
        <f t="shared" si="16"/>
        <v>10277</v>
      </c>
      <c r="P62" s="8">
        <f t="shared" si="16"/>
        <v>6724</v>
      </c>
      <c r="Q62" s="8">
        <f t="shared" si="16"/>
        <v>9526.8112200000032</v>
      </c>
      <c r="R62" s="8">
        <f t="shared" si="16"/>
        <v>6732.6327999999921</v>
      </c>
    </row>
    <row r="63" spans="1:34">
      <c r="A63" s="39">
        <v>49</v>
      </c>
      <c r="M63" s="3"/>
      <c r="N63" s="3"/>
      <c r="O63" s="3"/>
      <c r="P63" s="3"/>
      <c r="Q63" s="3"/>
      <c r="R63" s="3"/>
    </row>
    <row r="64" spans="1:34">
      <c r="A64" s="39">
        <v>50</v>
      </c>
      <c r="B64" s="40" t="s">
        <v>53</v>
      </c>
      <c r="G64" s="21">
        <f t="shared" ref="G64:H64" si="17">ROUND(G56/G62,4)</f>
        <v>0</v>
      </c>
      <c r="H64" s="21">
        <f t="shared" si="17"/>
        <v>0</v>
      </c>
      <c r="I64" s="19">
        <f t="shared" ref="I64:Q64" si="18">I56/I60</f>
        <v>9.331667996083353E-3</v>
      </c>
      <c r="J64" s="19">
        <f t="shared" si="18"/>
        <v>1.2683251548516735E-2</v>
      </c>
      <c r="K64" s="19">
        <f t="shared" si="18"/>
        <v>8.4973713167868937E-3</v>
      </c>
      <c r="L64" s="19">
        <f t="shared" si="18"/>
        <v>7.2445871408578248E-3</v>
      </c>
      <c r="M64" s="19">
        <f t="shared" si="18"/>
        <v>9.0753886243148535E-3</v>
      </c>
      <c r="N64" s="19">
        <f t="shared" si="18"/>
        <v>1.7979731938542007E-3</v>
      </c>
      <c r="O64" s="19">
        <f t="shared" si="18"/>
        <v>2.7829133015471443E-2</v>
      </c>
      <c r="P64" s="19">
        <f>P56/P60</f>
        <v>2.9595478881618086E-2</v>
      </c>
      <c r="Q64" s="19">
        <f t="shared" si="18"/>
        <v>1.6794706676259714E-2</v>
      </c>
      <c r="R64" s="19">
        <f t="shared" ref="R64" si="19">ROUND(R56/R62,4)</f>
        <v>1.4E-2</v>
      </c>
    </row>
    <row r="65" spans="1:18">
      <c r="A65" s="39">
        <v>51</v>
      </c>
      <c r="B65" s="40" t="s">
        <v>54</v>
      </c>
      <c r="G65" s="4"/>
      <c r="H65" s="4"/>
      <c r="I65" s="4"/>
      <c r="J65" s="4"/>
      <c r="K65" s="4"/>
      <c r="L65" s="4"/>
      <c r="M65" s="5"/>
      <c r="N65" s="5"/>
      <c r="O65" s="5"/>
      <c r="P65" s="5"/>
      <c r="Q65" s="5"/>
      <c r="R65" s="5"/>
    </row>
    <row r="66" spans="1:18">
      <c r="A66" s="39">
        <v>52</v>
      </c>
      <c r="B66" s="40" t="s">
        <v>55</v>
      </c>
      <c r="G66" s="21">
        <f t="shared" ref="G66:H66" si="20">ROUND(G56/G62,4)</f>
        <v>0</v>
      </c>
      <c r="H66" s="21">
        <f t="shared" si="20"/>
        <v>0</v>
      </c>
      <c r="I66" s="19">
        <f t="shared" ref="I66:R66" si="21">ROUND(I56/I62,4)</f>
        <v>9.2999999999999992E-3</v>
      </c>
      <c r="J66" s="19">
        <f t="shared" si="21"/>
        <v>1.2699999999999999E-2</v>
      </c>
      <c r="K66" s="19">
        <f t="shared" si="21"/>
        <v>8.5000000000000006E-3</v>
      </c>
      <c r="L66" s="19">
        <f t="shared" si="21"/>
        <v>7.1999999999999998E-3</v>
      </c>
      <c r="M66" s="19">
        <f t="shared" si="21"/>
        <v>9.1000000000000004E-3</v>
      </c>
      <c r="N66" s="19">
        <f t="shared" si="21"/>
        <v>1.8E-3</v>
      </c>
      <c r="O66" s="19">
        <f t="shared" si="21"/>
        <v>2.7799999999999998E-2</v>
      </c>
      <c r="P66" s="19">
        <f>ROUND(P56/P62,4)</f>
        <v>2.9600000000000001E-2</v>
      </c>
      <c r="Q66" s="19">
        <f t="shared" si="21"/>
        <v>1.6799999999999999E-2</v>
      </c>
      <c r="R66" s="19">
        <f t="shared" si="21"/>
        <v>1.4E-2</v>
      </c>
    </row>
    <row r="67" spans="1:18">
      <c r="A67" s="39">
        <v>53</v>
      </c>
      <c r="M67" s="3"/>
      <c r="N67" s="3"/>
      <c r="O67" s="3"/>
      <c r="P67" s="3"/>
      <c r="Q67" s="3"/>
      <c r="R67" s="3"/>
    </row>
    <row r="68" spans="1:18">
      <c r="A68" s="39">
        <v>54</v>
      </c>
      <c r="M68" s="3"/>
      <c r="N68" s="3"/>
      <c r="O68" s="3"/>
      <c r="P68" s="3"/>
      <c r="Q68" s="3"/>
      <c r="R68" s="3"/>
    </row>
    <row r="69" spans="1:18">
      <c r="A69" s="39">
        <v>55</v>
      </c>
      <c r="M69" s="3"/>
      <c r="N69" s="3"/>
      <c r="O69" s="3"/>
      <c r="P69" s="20"/>
      <c r="Q69" s="3"/>
      <c r="R69" s="3"/>
    </row>
    <row r="70" spans="1:18">
      <c r="A70" s="39">
        <v>56</v>
      </c>
      <c r="B70" s="49" t="s">
        <v>56</v>
      </c>
      <c r="M70" s="3"/>
      <c r="N70" s="3"/>
      <c r="O70" s="3"/>
      <c r="P70" s="3"/>
      <c r="Q70" s="3"/>
      <c r="R70" s="3"/>
    </row>
    <row r="71" spans="1:18">
      <c r="A71" s="39">
        <v>57</v>
      </c>
      <c r="B71" s="40" t="s">
        <v>57</v>
      </c>
      <c r="C71" s="50"/>
      <c r="G71" s="21">
        <f>[3]K!$G$71</f>
        <v>1.9900000000000001E-2</v>
      </c>
      <c r="H71" s="21">
        <f>[3]K!$H$71</f>
        <v>1.9898265289283203E-2</v>
      </c>
      <c r="I71" s="21">
        <v>1.12E-2</v>
      </c>
      <c r="J71" s="21">
        <v>1.09E-2</v>
      </c>
      <c r="K71" s="21">
        <v>1.49E-2</v>
      </c>
      <c r="L71" s="21">
        <v>1.17E-2</v>
      </c>
      <c r="M71" s="19">
        <v>1.2200000000000001E-2</v>
      </c>
      <c r="N71" s="19">
        <v>1.03E-2</v>
      </c>
      <c r="O71" s="19">
        <v>3.2300000000000002E-2</v>
      </c>
      <c r="P71" s="19">
        <v>6.8000000000000005E-2</v>
      </c>
      <c r="Q71" s="19">
        <v>4.3999999999999997E-2</v>
      </c>
      <c r="R71" s="19">
        <v>5.6000000000000001E-2</v>
      </c>
    </row>
    <row r="72" spans="1:18">
      <c r="A72" s="39">
        <v>58</v>
      </c>
      <c r="B72" s="40" t="s">
        <v>58</v>
      </c>
      <c r="F72" s="4"/>
      <c r="G72" s="21">
        <f>[3]K!$G$72</f>
        <v>5.11E-2</v>
      </c>
      <c r="H72" s="21">
        <f>[3]K!$H$72</f>
        <v>5.1299999999999998E-2</v>
      </c>
      <c r="I72" s="21">
        <v>5.8900000000000001E-2</v>
      </c>
      <c r="J72" s="21">
        <v>5.8999999999999997E-2</v>
      </c>
      <c r="K72" s="21">
        <v>6.0299999999999999E-2</v>
      </c>
      <c r="L72" s="21">
        <v>6.2600000000000003E-2</v>
      </c>
      <c r="M72" s="19">
        <v>6.5100000000000005E-2</v>
      </c>
      <c r="N72" s="19">
        <v>6.7500000000000004E-2</v>
      </c>
      <c r="O72" s="19">
        <v>6.88E-2</v>
      </c>
      <c r="P72" s="19">
        <v>6.9000000000000006E-2</v>
      </c>
      <c r="Q72" s="19">
        <v>6.0999999999999999E-2</v>
      </c>
      <c r="R72" s="19">
        <v>6.0999999999999999E-2</v>
      </c>
    </row>
    <row r="73" spans="1:18">
      <c r="A73" s="39">
        <v>59</v>
      </c>
      <c r="B73" s="40" t="s">
        <v>59</v>
      </c>
      <c r="F73" s="4"/>
      <c r="G73" s="25" t="s">
        <v>51</v>
      </c>
      <c r="H73" s="25" t="s">
        <v>51</v>
      </c>
      <c r="I73" s="11" t="s">
        <v>51</v>
      </c>
      <c r="J73" s="11" t="s">
        <v>51</v>
      </c>
      <c r="K73" s="11" t="s">
        <v>51</v>
      </c>
      <c r="L73" s="11" t="s">
        <v>51</v>
      </c>
      <c r="M73" s="11" t="s">
        <v>51</v>
      </c>
      <c r="N73" s="11" t="s">
        <v>51</v>
      </c>
      <c r="O73" s="11" t="s">
        <v>51</v>
      </c>
      <c r="P73" s="11" t="s">
        <v>51</v>
      </c>
      <c r="Q73" s="11" t="s">
        <v>51</v>
      </c>
      <c r="R73" s="11" t="s">
        <v>51</v>
      </c>
    </row>
    <row r="74" spans="1:18">
      <c r="A74" s="39">
        <v>60</v>
      </c>
      <c r="F74" s="4"/>
      <c r="G74" s="4"/>
      <c r="H74" s="4"/>
      <c r="I74" s="4"/>
      <c r="J74" s="4"/>
      <c r="K74" s="4"/>
      <c r="L74" s="4"/>
      <c r="M74" s="5"/>
      <c r="N74" s="5"/>
      <c r="O74" s="5"/>
      <c r="P74" s="5"/>
      <c r="Q74" s="5"/>
      <c r="R74" s="5"/>
    </row>
    <row r="75" spans="1:18">
      <c r="A75" s="39">
        <v>61</v>
      </c>
      <c r="B75" s="49" t="s">
        <v>60</v>
      </c>
      <c r="F75" s="4"/>
      <c r="G75" s="4"/>
      <c r="H75" s="4"/>
      <c r="I75" s="4"/>
      <c r="J75" s="4"/>
      <c r="K75" s="4"/>
      <c r="L75" s="4"/>
      <c r="M75" s="5"/>
      <c r="N75" s="5"/>
      <c r="O75" s="5"/>
      <c r="P75" s="5"/>
      <c r="Q75" s="5"/>
      <c r="R75" s="5"/>
    </row>
    <row r="76" spans="1:18">
      <c r="A76" s="39">
        <v>62</v>
      </c>
      <c r="B76" s="40" t="s">
        <v>61</v>
      </c>
      <c r="C76" s="50"/>
      <c r="D76" s="50"/>
      <c r="F76" s="4"/>
      <c r="G76" s="22">
        <f>(+G53+G58)/G59</f>
        <v>3.9974055150817422</v>
      </c>
      <c r="H76" s="22">
        <f t="shared" ref="H76" si="22">(+H53+H58)/H59</f>
        <v>5.1243566116998061</v>
      </c>
      <c r="I76" s="22">
        <v>5.75</v>
      </c>
      <c r="J76" s="22">
        <v>5.39</v>
      </c>
      <c r="K76" s="22">
        <v>4.6900000000000004</v>
      </c>
      <c r="L76" s="22">
        <v>3.91</v>
      </c>
      <c r="M76" s="23">
        <v>3.0571918341904318</v>
      </c>
      <c r="N76" s="23">
        <v>2.9660460457804634</v>
      </c>
      <c r="O76" s="23">
        <v>3.0043972293563703</v>
      </c>
      <c r="P76" s="23">
        <v>2.8387360945505051</v>
      </c>
      <c r="Q76" s="23">
        <v>3.06</v>
      </c>
      <c r="R76" s="23">
        <v>2.75</v>
      </c>
    </row>
    <row r="77" spans="1:18">
      <c r="A77" s="39">
        <v>63</v>
      </c>
      <c r="B77" s="40" t="s">
        <v>62</v>
      </c>
      <c r="F77" s="4"/>
      <c r="G77" s="22">
        <f>(+G53+G58-G56)/G59</f>
        <v>3.9974055150817422</v>
      </c>
      <c r="H77" s="22">
        <f t="shared" ref="H77" si="23">(+H53+H58-H56)/H59</f>
        <v>5.1243566116998061</v>
      </c>
      <c r="I77" s="22">
        <v>5.77</v>
      </c>
      <c r="J77" s="22">
        <v>5.41</v>
      </c>
      <c r="K77" s="22">
        <v>4.7</v>
      </c>
      <c r="L77" s="22">
        <v>3.92</v>
      </c>
      <c r="M77" s="23">
        <v>3.0409960261804581</v>
      </c>
      <c r="N77" s="23">
        <v>2.9527909831987955</v>
      </c>
      <c r="O77" s="23">
        <v>2.9852512711754482</v>
      </c>
      <c r="P77" s="23">
        <v>2.8022744139729294</v>
      </c>
      <c r="Q77" s="24">
        <v>3.12</v>
      </c>
      <c r="R77" s="23">
        <v>2.81</v>
      </c>
    </row>
    <row r="78" spans="1:18">
      <c r="A78" s="39">
        <v>64</v>
      </c>
      <c r="B78" s="40" t="s">
        <v>63</v>
      </c>
      <c r="F78" s="4"/>
      <c r="G78" s="22">
        <f>G58/G59</f>
        <v>2.8314147697149448</v>
      </c>
      <c r="H78" s="22">
        <f t="shared" ref="H78" si="24">H58/H59</f>
        <v>3.5199818897485806</v>
      </c>
      <c r="I78" s="22">
        <v>3.24</v>
      </c>
      <c r="J78" s="22">
        <v>3.71</v>
      </c>
      <c r="K78" s="22">
        <v>3.24</v>
      </c>
      <c r="L78" s="22">
        <v>2.89</v>
      </c>
      <c r="M78" s="23">
        <v>2.3614121580460989</v>
      </c>
      <c r="N78" s="23">
        <v>2.2575233976506173</v>
      </c>
      <c r="O78" s="23">
        <v>2.2312955612628738</v>
      </c>
      <c r="P78" s="23">
        <v>2.200873963233271</v>
      </c>
      <c r="Q78" s="23">
        <v>2.2599999999999998</v>
      </c>
      <c r="R78" s="23">
        <v>2.12</v>
      </c>
    </row>
    <row r="79" spans="1:18">
      <c r="A79" s="39">
        <v>65</v>
      </c>
      <c r="B79" s="40" t="s">
        <v>64</v>
      </c>
      <c r="F79" s="4"/>
      <c r="G79" s="22">
        <f>[3]K!$G$79</f>
        <v>3.9632661943394925</v>
      </c>
      <c r="H79" s="22">
        <f>[3]K!$H$79</f>
        <v>5.0619060440699961</v>
      </c>
      <c r="I79" s="22">
        <v>5.17</v>
      </c>
      <c r="J79" s="22">
        <v>4.8899999999999997</v>
      </c>
      <c r="K79" s="22">
        <v>4.32</v>
      </c>
      <c r="L79" s="22">
        <v>3.6</v>
      </c>
      <c r="M79" s="23">
        <v>2.84</v>
      </c>
      <c r="N79" s="23">
        <v>2.78</v>
      </c>
      <c r="O79" s="23">
        <v>2.78</v>
      </c>
      <c r="P79" s="23">
        <v>2.5499999999999998</v>
      </c>
      <c r="Q79" s="23">
        <v>2.76</v>
      </c>
      <c r="R79" s="23">
        <v>2.687794631619842</v>
      </c>
    </row>
    <row r="80" spans="1:18">
      <c r="A80" s="39">
        <v>66</v>
      </c>
      <c r="B80" s="40" t="s">
        <v>65</v>
      </c>
      <c r="F80" s="4"/>
      <c r="G80" s="22">
        <f>(G58-G56)/G59</f>
        <v>2.8314147697149448</v>
      </c>
      <c r="H80" s="22">
        <f t="shared" ref="H80" si="25">(H58-H56)/H59</f>
        <v>3.5199818897485806</v>
      </c>
      <c r="I80" s="22">
        <v>4.04</v>
      </c>
      <c r="J80" s="22">
        <v>3.73</v>
      </c>
      <c r="K80" s="22">
        <v>3.25</v>
      </c>
      <c r="L80" s="22">
        <v>2.81</v>
      </c>
      <c r="M80" s="23">
        <v>2.3452163500361256</v>
      </c>
      <c r="N80" s="23">
        <v>2.244268335068949</v>
      </c>
      <c r="O80" s="23">
        <v>2.2121496030819521</v>
      </c>
      <c r="P80" s="23">
        <v>2.1644122826556949</v>
      </c>
      <c r="Q80" s="23">
        <v>2.31</v>
      </c>
      <c r="R80" s="23">
        <v>2.16</v>
      </c>
    </row>
    <row r="81" spans="1:18">
      <c r="A81" s="39">
        <v>67</v>
      </c>
      <c r="B81" s="55" t="s">
        <v>118</v>
      </c>
      <c r="F81" s="4"/>
      <c r="G81" s="26" t="s">
        <v>51</v>
      </c>
      <c r="H81" s="26" t="s">
        <v>51</v>
      </c>
      <c r="I81" s="26" t="s">
        <v>51</v>
      </c>
      <c r="J81" s="26" t="s">
        <v>51</v>
      </c>
      <c r="K81" s="26" t="s">
        <v>51</v>
      </c>
      <c r="L81" s="26" t="s">
        <v>51</v>
      </c>
      <c r="M81" s="24" t="s">
        <v>51</v>
      </c>
      <c r="N81" s="24" t="s">
        <v>51</v>
      </c>
      <c r="O81" s="24" t="s">
        <v>51</v>
      </c>
      <c r="P81" s="24" t="s">
        <v>51</v>
      </c>
      <c r="Q81" s="24" t="s">
        <v>51</v>
      </c>
      <c r="R81" s="24" t="s">
        <v>51</v>
      </c>
    </row>
    <row r="82" spans="1:18">
      <c r="A82" s="39">
        <v>68</v>
      </c>
      <c r="B82" s="40" t="s">
        <v>66</v>
      </c>
      <c r="G82" s="22">
        <f>(+G53+G58)/(G59*(1-0.35))</f>
        <v>6.1498546385872954</v>
      </c>
      <c r="H82" s="22">
        <f>(+H53+H58)/(H59*(1-0.35))</f>
        <v>7.8836255564612392</v>
      </c>
      <c r="I82" s="22">
        <v>3.65</v>
      </c>
      <c r="J82" s="22">
        <v>3.39</v>
      </c>
      <c r="K82" s="22">
        <v>3.02</v>
      </c>
      <c r="L82" s="22">
        <v>2.6</v>
      </c>
      <c r="M82" s="23">
        <v>2.2116799519301451</v>
      </c>
      <c r="N82" s="23">
        <v>2.1340881930445068</v>
      </c>
      <c r="O82" s="23">
        <v>2.0837815317021438</v>
      </c>
      <c r="P82" s="23">
        <v>2.1800332256334456</v>
      </c>
      <c r="Q82" s="23">
        <v>2.15</v>
      </c>
      <c r="R82" s="23">
        <v>2.04</v>
      </c>
    </row>
    <row r="83" spans="1:18">
      <c r="A83" s="39">
        <v>69</v>
      </c>
      <c r="F83" s="21"/>
      <c r="G83" s="4"/>
      <c r="H83" s="4"/>
      <c r="I83" s="4"/>
      <c r="J83" s="4"/>
      <c r="K83" s="4"/>
      <c r="L83" s="4"/>
      <c r="M83" s="5"/>
      <c r="N83" s="5"/>
      <c r="O83" s="5"/>
      <c r="P83" s="5"/>
      <c r="Q83" s="5"/>
      <c r="R83" s="5"/>
    </row>
    <row r="84" spans="1:18">
      <c r="A84" s="39">
        <v>70</v>
      </c>
      <c r="B84" s="49" t="s">
        <v>67</v>
      </c>
      <c r="G84" s="4"/>
      <c r="H84" s="5"/>
      <c r="I84" s="4"/>
      <c r="J84" s="4"/>
      <c r="K84" s="4"/>
      <c r="L84" s="4"/>
      <c r="M84" s="5"/>
      <c r="N84" s="5"/>
      <c r="O84" s="5"/>
      <c r="P84" s="5"/>
      <c r="Q84" s="5"/>
      <c r="R84" s="5"/>
    </row>
    <row r="85" spans="1:18">
      <c r="A85" s="39">
        <v>71</v>
      </c>
      <c r="B85" s="40" t="s">
        <v>68</v>
      </c>
      <c r="C85" s="50"/>
      <c r="D85" s="50"/>
      <c r="G85" s="25" t="s">
        <v>51</v>
      </c>
      <c r="H85" s="11" t="str">
        <f>[3]K!$H$85</f>
        <v>A2</v>
      </c>
      <c r="I85" s="11" t="s">
        <v>70</v>
      </c>
      <c r="J85" s="11" t="s">
        <v>70</v>
      </c>
      <c r="K85" s="11" t="s">
        <v>70</v>
      </c>
      <c r="L85" s="11" t="s">
        <v>71</v>
      </c>
      <c r="M85" s="11" t="s">
        <v>71</v>
      </c>
      <c r="N85" s="11" t="s">
        <v>71</v>
      </c>
      <c r="O85" s="11" t="s">
        <v>69</v>
      </c>
      <c r="P85" s="11" t="s">
        <v>69</v>
      </c>
      <c r="Q85" s="11" t="s">
        <v>72</v>
      </c>
      <c r="R85" s="11" t="s">
        <v>72</v>
      </c>
    </row>
    <row r="86" spans="1:18">
      <c r="A86" s="39">
        <v>72</v>
      </c>
      <c r="B86" s="40" t="s">
        <v>73</v>
      </c>
      <c r="F86" s="4"/>
      <c r="G86" s="25" t="s">
        <v>51</v>
      </c>
      <c r="H86" s="11" t="str">
        <f>[3]K!$H$86</f>
        <v>A</v>
      </c>
      <c r="I86" s="11" t="s">
        <v>119</v>
      </c>
      <c r="J86" s="11" t="s">
        <v>75</v>
      </c>
      <c r="K86" s="11" t="s">
        <v>75</v>
      </c>
      <c r="L86" s="11" t="s">
        <v>75</v>
      </c>
      <c r="M86" s="11" t="s">
        <v>76</v>
      </c>
      <c r="N86" s="11" t="s">
        <v>76</v>
      </c>
      <c r="O86" s="11" t="s">
        <v>76</v>
      </c>
      <c r="P86" s="11" t="s">
        <v>76</v>
      </c>
      <c r="Q86" s="11" t="s">
        <v>74</v>
      </c>
      <c r="R86" s="11" t="s">
        <v>74</v>
      </c>
    </row>
    <row r="87" spans="1:18">
      <c r="A87" s="39">
        <v>73</v>
      </c>
      <c r="B87" s="40" t="s">
        <v>77</v>
      </c>
      <c r="G87" s="25" t="s">
        <v>51</v>
      </c>
      <c r="H87" s="25" t="s">
        <v>51</v>
      </c>
      <c r="I87" s="11" t="s">
        <v>51</v>
      </c>
      <c r="J87" s="11" t="s">
        <v>51</v>
      </c>
      <c r="K87" s="11" t="s">
        <v>51</v>
      </c>
      <c r="L87" s="11" t="s">
        <v>51</v>
      </c>
      <c r="M87" s="11" t="s">
        <v>51</v>
      </c>
      <c r="N87" s="11" t="s">
        <v>51</v>
      </c>
      <c r="O87" s="11" t="s">
        <v>51</v>
      </c>
      <c r="P87" s="11" t="s">
        <v>51</v>
      </c>
      <c r="Q87" s="11" t="s">
        <v>51</v>
      </c>
      <c r="R87" s="11" t="s">
        <v>51</v>
      </c>
    </row>
    <row r="88" spans="1:18">
      <c r="A88" s="39">
        <v>74</v>
      </c>
      <c r="B88" s="40" t="s">
        <v>78</v>
      </c>
      <c r="G88" s="25" t="s">
        <v>51</v>
      </c>
      <c r="H88" s="25" t="s">
        <v>51</v>
      </c>
      <c r="I88" s="11" t="s">
        <v>51</v>
      </c>
      <c r="J88" s="11" t="s">
        <v>51</v>
      </c>
      <c r="K88" s="11" t="s">
        <v>51</v>
      </c>
      <c r="L88" s="11" t="s">
        <v>51</v>
      </c>
      <c r="M88" s="11" t="s">
        <v>51</v>
      </c>
      <c r="N88" s="11" t="s">
        <v>51</v>
      </c>
      <c r="O88" s="11" t="s">
        <v>51</v>
      </c>
      <c r="P88" s="11" t="s">
        <v>51</v>
      </c>
      <c r="Q88" s="11" t="s">
        <v>51</v>
      </c>
      <c r="R88" s="11" t="s">
        <v>51</v>
      </c>
    </row>
    <row r="89" spans="1:18">
      <c r="A89" s="39">
        <v>75</v>
      </c>
      <c r="G89" s="25" t="s">
        <v>13</v>
      </c>
      <c r="H89" s="25"/>
      <c r="I89" s="25"/>
      <c r="J89" s="25"/>
      <c r="K89" s="25"/>
      <c r="L89" s="25"/>
      <c r="M89" s="11"/>
      <c r="N89" s="11"/>
      <c r="O89" s="11"/>
      <c r="P89" s="11"/>
      <c r="Q89" s="5"/>
      <c r="R89" s="5"/>
    </row>
    <row r="90" spans="1:18">
      <c r="A90" s="39">
        <v>76</v>
      </c>
      <c r="B90" s="49" t="s">
        <v>79</v>
      </c>
      <c r="G90" s="25"/>
      <c r="H90" s="25"/>
      <c r="I90" s="25"/>
      <c r="J90" s="25"/>
      <c r="K90" s="25"/>
      <c r="L90" s="25"/>
      <c r="M90" s="11"/>
      <c r="N90" s="11"/>
      <c r="O90" s="11"/>
      <c r="P90" s="11"/>
      <c r="Q90" s="5"/>
      <c r="R90" s="5"/>
    </row>
    <row r="91" spans="1:18">
      <c r="A91" s="39">
        <v>77</v>
      </c>
      <c r="B91" s="40" t="s">
        <v>80</v>
      </c>
      <c r="C91" s="50"/>
      <c r="D91" s="50"/>
      <c r="E91" s="50"/>
      <c r="G91" s="25" t="s">
        <v>51</v>
      </c>
      <c r="H91" s="25" t="s">
        <v>51</v>
      </c>
      <c r="I91" s="25">
        <v>103931</v>
      </c>
      <c r="J91" s="25">
        <v>101479</v>
      </c>
      <c r="K91" s="25">
        <v>100388</v>
      </c>
      <c r="L91" s="25">
        <v>90640</v>
      </c>
      <c r="M91" s="5">
        <v>90240</v>
      </c>
      <c r="N91" s="5">
        <v>90296</v>
      </c>
      <c r="O91" s="5">
        <v>90164</v>
      </c>
      <c r="P91" s="5">
        <v>92552</v>
      </c>
      <c r="Q91" s="5">
        <v>90814</v>
      </c>
      <c r="R91" s="5">
        <v>89326</v>
      </c>
    </row>
    <row r="92" spans="1:18">
      <c r="A92" s="39">
        <v>78</v>
      </c>
      <c r="B92" s="40" t="s">
        <v>81</v>
      </c>
      <c r="G92" s="25" t="s">
        <v>51</v>
      </c>
      <c r="H92" s="25" t="s">
        <v>51</v>
      </c>
      <c r="I92" s="25"/>
      <c r="J92" s="25"/>
      <c r="K92" s="25"/>
      <c r="L92" s="25"/>
      <c r="M92" s="5"/>
      <c r="N92" s="5"/>
      <c r="O92" s="5"/>
      <c r="P92" s="5"/>
      <c r="Q92" s="5"/>
      <c r="R92" s="5"/>
    </row>
    <row r="93" spans="1:18">
      <c r="A93" s="39">
        <v>79</v>
      </c>
      <c r="B93" s="55" t="s">
        <v>82</v>
      </c>
      <c r="G93" s="25" t="s">
        <v>51</v>
      </c>
      <c r="H93" s="25" t="s">
        <v>51</v>
      </c>
      <c r="I93" s="25">
        <v>103524</v>
      </c>
      <c r="J93" s="25">
        <v>101892</v>
      </c>
      <c r="K93" s="25">
        <v>97608</v>
      </c>
      <c r="L93" s="25">
        <v>91711</v>
      </c>
      <c r="M93" s="5">
        <v>91172</v>
      </c>
      <c r="N93" s="5">
        <v>90652</v>
      </c>
      <c r="O93" s="5">
        <v>92422</v>
      </c>
      <c r="P93" s="5">
        <v>91620</v>
      </c>
      <c r="Q93" s="5">
        <v>89941</v>
      </c>
      <c r="R93" s="5">
        <v>87486</v>
      </c>
    </row>
    <row r="94" spans="1:18">
      <c r="A94" s="39">
        <v>80</v>
      </c>
      <c r="B94" s="55" t="s">
        <v>83</v>
      </c>
      <c r="G94" s="25" t="s">
        <v>51</v>
      </c>
      <c r="H94" s="25" t="s">
        <v>51</v>
      </c>
      <c r="I94" s="26">
        <v>3.38</v>
      </c>
      <c r="J94" s="26">
        <v>3.09</v>
      </c>
      <c r="K94" s="26">
        <v>2.96</v>
      </c>
      <c r="L94" s="26">
        <v>2.64</v>
      </c>
      <c r="M94" s="23">
        <v>2.37</v>
      </c>
      <c r="N94" s="23">
        <v>2.27</v>
      </c>
      <c r="O94" s="23">
        <v>2.2000000000000002</v>
      </c>
      <c r="P94" s="23">
        <v>2.0699999999999998</v>
      </c>
      <c r="Q94" s="23">
        <v>1.99</v>
      </c>
      <c r="R94" s="23">
        <v>1.91</v>
      </c>
    </row>
    <row r="95" spans="1:18">
      <c r="A95" s="39">
        <v>81</v>
      </c>
      <c r="B95" s="40" t="s">
        <v>84</v>
      </c>
      <c r="G95" s="25" t="s">
        <v>51</v>
      </c>
      <c r="H95" s="25" t="s">
        <v>51</v>
      </c>
      <c r="I95" s="24">
        <v>1.68</v>
      </c>
      <c r="J95" s="24">
        <v>1.56</v>
      </c>
      <c r="K95" s="24">
        <v>1.48</v>
      </c>
      <c r="L95" s="24">
        <v>1.4</v>
      </c>
      <c r="M95" s="24">
        <v>1.38</v>
      </c>
      <c r="N95" s="24">
        <v>1.36</v>
      </c>
      <c r="O95" s="24">
        <v>1.34</v>
      </c>
      <c r="P95" s="24">
        <v>1.32</v>
      </c>
      <c r="Q95" s="24">
        <v>1.3</v>
      </c>
      <c r="R95" s="24">
        <v>1.28</v>
      </c>
    </row>
    <row r="96" spans="1:18">
      <c r="A96" s="39">
        <v>82</v>
      </c>
      <c r="B96" s="40" t="s">
        <v>85</v>
      </c>
      <c r="G96" s="25" t="s">
        <v>51</v>
      </c>
      <c r="H96" s="25" t="s">
        <v>51</v>
      </c>
      <c r="I96" s="24">
        <v>1.68</v>
      </c>
      <c r="J96" s="24">
        <v>1.56</v>
      </c>
      <c r="K96" s="24">
        <v>1.48</v>
      </c>
      <c r="L96" s="24">
        <v>1.4</v>
      </c>
      <c r="M96" s="24">
        <v>1.38</v>
      </c>
      <c r="N96" s="24">
        <v>1.36</v>
      </c>
      <c r="O96" s="24">
        <v>1.34</v>
      </c>
      <c r="P96" s="24">
        <v>1.32</v>
      </c>
      <c r="Q96" s="24">
        <v>1.3</v>
      </c>
      <c r="R96" s="24">
        <v>1.28</v>
      </c>
    </row>
    <row r="97" spans="1:18">
      <c r="A97" s="39">
        <v>83</v>
      </c>
      <c r="B97" s="40" t="s">
        <v>86</v>
      </c>
      <c r="G97" s="25" t="s">
        <v>51</v>
      </c>
      <c r="H97" s="25" t="s">
        <v>51</v>
      </c>
      <c r="I97" s="25"/>
      <c r="J97" s="25"/>
      <c r="K97" s="25"/>
      <c r="L97" s="25"/>
      <c r="M97" s="11"/>
      <c r="N97" s="11"/>
      <c r="O97" s="11"/>
      <c r="P97" s="11"/>
      <c r="Q97" s="5"/>
      <c r="R97" s="5"/>
    </row>
    <row r="98" spans="1:18">
      <c r="A98" s="39">
        <v>84</v>
      </c>
      <c r="B98" s="40" t="s">
        <v>87</v>
      </c>
      <c r="G98" s="25" t="s">
        <v>51</v>
      </c>
      <c r="H98" s="25" t="s">
        <v>51</v>
      </c>
      <c r="I98" s="27">
        <f t="shared" ref="I98" si="26">I96/I94</f>
        <v>0.49704142011834318</v>
      </c>
      <c r="J98" s="27">
        <f>J96/J94</f>
        <v>0.50485436893203883</v>
      </c>
      <c r="K98" s="27">
        <f t="shared" ref="K98:L98" si="27">K96/K94</f>
        <v>0.5</v>
      </c>
      <c r="L98" s="27">
        <f t="shared" si="27"/>
        <v>0.53030303030303028</v>
      </c>
      <c r="M98" s="27">
        <f>M96/M94</f>
        <v>0.58227848101265811</v>
      </c>
      <c r="N98" s="27">
        <f t="shared" ref="N98:P98" si="28">N96/N94</f>
        <v>0.59911894273127753</v>
      </c>
      <c r="O98" s="27">
        <f t="shared" si="28"/>
        <v>0.60909090909090913</v>
      </c>
      <c r="P98" s="27">
        <f t="shared" si="28"/>
        <v>0.63768115942028991</v>
      </c>
      <c r="Q98" s="27">
        <f>Q96/Q94</f>
        <v>0.65326633165829151</v>
      </c>
      <c r="R98" s="27">
        <f>R96/R94</f>
        <v>0.67015706806282727</v>
      </c>
    </row>
    <row r="99" spans="1:18">
      <c r="A99" s="39">
        <v>85</v>
      </c>
      <c r="B99" s="40" t="s">
        <v>88</v>
      </c>
      <c r="G99" s="25" t="s">
        <v>51</v>
      </c>
      <c r="H99" s="25" t="s">
        <v>51</v>
      </c>
      <c r="I99" s="25"/>
      <c r="J99" s="25"/>
      <c r="K99" s="25"/>
      <c r="L99" s="25"/>
      <c r="M99" s="11"/>
      <c r="N99" s="11"/>
      <c r="O99" s="11"/>
      <c r="P99" s="11"/>
      <c r="Q99" s="5"/>
      <c r="R99" s="5"/>
    </row>
    <row r="100" spans="1:18">
      <c r="A100" s="39">
        <v>86</v>
      </c>
      <c r="B100" s="40" t="s">
        <v>89</v>
      </c>
      <c r="G100" s="25" t="s">
        <v>51</v>
      </c>
      <c r="H100" s="25" t="s">
        <v>51</v>
      </c>
      <c r="I100" s="26">
        <v>64.25</v>
      </c>
      <c r="J100" s="26">
        <v>58.08</v>
      </c>
      <c r="K100" s="26">
        <v>47.06</v>
      </c>
      <c r="L100" s="26">
        <v>36.86</v>
      </c>
      <c r="M100" s="28">
        <v>35.4</v>
      </c>
      <c r="N100" s="28">
        <v>31.72</v>
      </c>
      <c r="O100" s="28">
        <v>30.06</v>
      </c>
      <c r="P100" s="28">
        <v>27.88</v>
      </c>
      <c r="Q100" s="28">
        <v>29.46</v>
      </c>
      <c r="R100" s="23">
        <v>33.01</v>
      </c>
    </row>
    <row r="101" spans="1:18">
      <c r="A101" s="39">
        <v>87</v>
      </c>
      <c r="B101" s="40" t="s">
        <v>90</v>
      </c>
      <c r="G101" s="25" t="s">
        <v>51</v>
      </c>
      <c r="H101" s="25" t="s">
        <v>51</v>
      </c>
      <c r="I101" s="26">
        <v>57.82</v>
      </c>
      <c r="J101" s="26">
        <v>47.35</v>
      </c>
      <c r="K101" s="26">
        <v>41.08</v>
      </c>
      <c r="L101" s="26">
        <v>33.200000000000003</v>
      </c>
      <c r="M101" s="28">
        <v>30.97</v>
      </c>
      <c r="N101" s="28">
        <v>29.1</v>
      </c>
      <c r="O101" s="28">
        <v>27.39</v>
      </c>
      <c r="P101" s="28">
        <v>21.17</v>
      </c>
      <c r="Q101" s="28">
        <v>26.11</v>
      </c>
      <c r="R101" s="23">
        <v>28.45</v>
      </c>
    </row>
    <row r="102" spans="1:18">
      <c r="A102" s="39">
        <v>88</v>
      </c>
      <c r="B102" s="40" t="s">
        <v>91</v>
      </c>
      <c r="G102" s="25" t="s">
        <v>51</v>
      </c>
      <c r="H102" s="25" t="s">
        <v>51</v>
      </c>
      <c r="I102" s="26">
        <v>74.33</v>
      </c>
      <c r="J102" s="26">
        <v>58.81</v>
      </c>
      <c r="K102" s="26">
        <v>48.01</v>
      </c>
      <c r="L102" s="26">
        <v>42.69</v>
      </c>
      <c r="M102" s="23">
        <v>33.15</v>
      </c>
      <c r="N102" s="23">
        <v>34.979999999999997</v>
      </c>
      <c r="O102" s="23">
        <v>29.52</v>
      </c>
      <c r="P102" s="23">
        <v>25.95</v>
      </c>
      <c r="Q102" s="23">
        <v>28.96</v>
      </c>
      <c r="R102" s="23">
        <v>33</v>
      </c>
    </row>
    <row r="103" spans="1:18">
      <c r="A103" s="39">
        <v>89</v>
      </c>
      <c r="B103" s="40" t="s">
        <v>92</v>
      </c>
      <c r="G103" s="25" t="s">
        <v>51</v>
      </c>
      <c r="H103" s="25" t="s">
        <v>51</v>
      </c>
      <c r="I103" s="26">
        <v>61.74</v>
      </c>
      <c r="J103" s="26">
        <v>52.02</v>
      </c>
      <c r="K103" s="26">
        <v>44.19</v>
      </c>
      <c r="L103" s="26">
        <v>35.11</v>
      </c>
      <c r="M103" s="23">
        <v>30.6</v>
      </c>
      <c r="N103" s="23">
        <v>31.51</v>
      </c>
      <c r="O103" s="23">
        <v>26.52</v>
      </c>
      <c r="P103" s="23">
        <v>20.2</v>
      </c>
      <c r="Q103" s="23">
        <v>25.09</v>
      </c>
      <c r="R103" s="23">
        <v>30.63</v>
      </c>
    </row>
    <row r="104" spans="1:18">
      <c r="A104" s="39">
        <v>90</v>
      </c>
      <c r="B104" s="40" t="s">
        <v>93</v>
      </c>
      <c r="G104" s="25" t="s">
        <v>51</v>
      </c>
      <c r="H104" s="25" t="s">
        <v>51</v>
      </c>
      <c r="I104" s="26">
        <v>81.319999999999993</v>
      </c>
      <c r="J104" s="26">
        <v>56.41</v>
      </c>
      <c r="K104" s="26">
        <v>53.4</v>
      </c>
      <c r="L104" s="26">
        <v>44.87</v>
      </c>
      <c r="M104" s="23">
        <v>35.07</v>
      </c>
      <c r="N104" s="23">
        <v>34.94</v>
      </c>
      <c r="O104" s="23">
        <v>29.98</v>
      </c>
      <c r="P104" s="23">
        <v>26.37</v>
      </c>
      <c r="Q104" s="23">
        <v>28.54</v>
      </c>
      <c r="R104" s="23">
        <v>33.11</v>
      </c>
    </row>
    <row r="105" spans="1:18">
      <c r="A105" s="39">
        <v>91</v>
      </c>
      <c r="B105" s="40" t="s">
        <v>94</v>
      </c>
      <c r="G105" s="25" t="s">
        <v>51</v>
      </c>
      <c r="H105" s="25" t="s">
        <v>51</v>
      </c>
      <c r="I105" s="26">
        <v>70.599999999999994</v>
      </c>
      <c r="J105" s="26">
        <v>51.28</v>
      </c>
      <c r="K105" s="26">
        <v>46.94</v>
      </c>
      <c r="L105" s="26">
        <v>38.590000000000003</v>
      </c>
      <c r="M105" s="23">
        <v>30.91</v>
      </c>
      <c r="N105" s="23">
        <v>31.34</v>
      </c>
      <c r="O105" s="23">
        <v>26.41</v>
      </c>
      <c r="P105" s="23">
        <v>22.81</v>
      </c>
      <c r="Q105" s="23">
        <v>25.81</v>
      </c>
      <c r="R105" s="23">
        <v>29.38</v>
      </c>
    </row>
    <row r="106" spans="1:18">
      <c r="A106" s="39">
        <v>92</v>
      </c>
      <c r="B106" s="40" t="s">
        <v>95</v>
      </c>
      <c r="G106" s="25" t="s">
        <v>51</v>
      </c>
      <c r="H106" s="25" t="s">
        <v>51</v>
      </c>
      <c r="I106" s="26">
        <v>81.16</v>
      </c>
      <c r="J106" s="26">
        <v>58.18</v>
      </c>
      <c r="K106" s="26">
        <v>52.68</v>
      </c>
      <c r="L106" s="26">
        <v>45.19</v>
      </c>
      <c r="M106" s="23">
        <v>36.94</v>
      </c>
      <c r="N106" s="23">
        <v>34.32</v>
      </c>
      <c r="O106" s="23">
        <v>29.81</v>
      </c>
      <c r="P106" s="23">
        <v>28.8</v>
      </c>
      <c r="Q106" s="23">
        <v>28.25</v>
      </c>
      <c r="R106" s="23">
        <v>30.66</v>
      </c>
    </row>
    <row r="107" spans="1:18">
      <c r="A107" s="39">
        <v>93</v>
      </c>
      <c r="B107" s="40" t="s">
        <v>96</v>
      </c>
      <c r="G107" s="25" t="s">
        <v>51</v>
      </c>
      <c r="H107" s="25" t="s">
        <v>51</v>
      </c>
      <c r="I107" s="26">
        <v>71.88</v>
      </c>
      <c r="J107" s="26">
        <v>51.48</v>
      </c>
      <c r="K107" s="26">
        <v>47.01</v>
      </c>
      <c r="L107" s="26">
        <v>39.4</v>
      </c>
      <c r="M107" s="23">
        <v>34.94</v>
      </c>
      <c r="N107" s="23">
        <v>28.87</v>
      </c>
      <c r="O107" s="23">
        <v>26.82</v>
      </c>
      <c r="P107" s="23">
        <v>24.65</v>
      </c>
      <c r="Q107" s="23">
        <v>25.49</v>
      </c>
      <c r="R107" s="23">
        <v>26.47</v>
      </c>
    </row>
    <row r="108" spans="1:18">
      <c r="A108" s="39">
        <v>94</v>
      </c>
      <c r="B108" s="40" t="s">
        <v>97</v>
      </c>
      <c r="G108" s="25" t="s">
        <v>51</v>
      </c>
      <c r="H108" s="25" t="s">
        <v>51</v>
      </c>
      <c r="I108" s="26">
        <v>33.450000000000003</v>
      </c>
      <c r="J108" s="26">
        <v>31.35</v>
      </c>
      <c r="K108" s="26">
        <v>31.62</v>
      </c>
      <c r="L108" s="26">
        <v>28.14</v>
      </c>
      <c r="M108" s="23">
        <v>25.876837186855614</v>
      </c>
      <c r="N108" s="23">
        <v>24.879991616290869</v>
      </c>
      <c r="O108" s="23">
        <v>23.569582999718683</v>
      </c>
      <c r="P108" s="23">
        <v>23.758578912901115</v>
      </c>
      <c r="Q108" s="23">
        <v>22.820426724185854</v>
      </c>
      <c r="R108" s="23">
        <v>22.469355096815491</v>
      </c>
    </row>
    <row r="109" spans="1:18">
      <c r="A109" s="39">
        <v>95</v>
      </c>
      <c r="G109" s="25"/>
      <c r="H109" s="25"/>
      <c r="I109" s="25"/>
      <c r="J109" s="25"/>
      <c r="K109" s="25"/>
      <c r="L109" s="25"/>
      <c r="M109" s="11"/>
      <c r="N109" s="11"/>
      <c r="O109" s="11"/>
      <c r="P109" s="11"/>
      <c r="Q109" s="5"/>
      <c r="R109" s="5"/>
    </row>
    <row r="110" spans="1:18">
      <c r="A110" s="39">
        <v>96</v>
      </c>
      <c r="B110" s="1" t="s">
        <v>98</v>
      </c>
      <c r="G110" s="4"/>
      <c r="H110" s="4"/>
      <c r="I110" s="22"/>
      <c r="J110" s="22"/>
      <c r="K110" s="22"/>
      <c r="L110" s="22"/>
      <c r="M110" s="23"/>
      <c r="N110" s="5"/>
      <c r="O110" s="5"/>
      <c r="P110" s="5"/>
      <c r="Q110" s="5"/>
      <c r="R110" s="5"/>
    </row>
    <row r="111" spans="1:18">
      <c r="A111" s="39">
        <v>97</v>
      </c>
      <c r="G111" s="4"/>
      <c r="H111" s="4"/>
      <c r="I111" s="4"/>
      <c r="J111" s="4"/>
      <c r="K111" s="4"/>
      <c r="L111" s="4"/>
      <c r="M111" s="5"/>
      <c r="N111" s="5"/>
      <c r="O111" s="5"/>
      <c r="P111" s="5"/>
      <c r="Q111" s="5"/>
      <c r="R111" s="5"/>
    </row>
    <row r="112" spans="1:18">
      <c r="A112" s="39">
        <v>98</v>
      </c>
      <c r="B112" s="49" t="s">
        <v>99</v>
      </c>
      <c r="C112" s="50"/>
      <c r="D112" s="50"/>
      <c r="E112" s="50"/>
      <c r="G112" s="4"/>
      <c r="H112" s="4"/>
      <c r="I112" s="4"/>
      <c r="J112" s="4"/>
      <c r="K112" s="4"/>
      <c r="L112" s="4"/>
      <c r="M112" s="5"/>
      <c r="N112" s="5"/>
      <c r="O112" s="5"/>
      <c r="P112" s="5"/>
      <c r="Q112" s="5"/>
      <c r="R112" s="5"/>
    </row>
    <row r="113" spans="1:18">
      <c r="A113" s="39">
        <v>99</v>
      </c>
      <c r="B113" s="40" t="s">
        <v>100</v>
      </c>
      <c r="G113" s="29" t="s">
        <v>51</v>
      </c>
      <c r="H113" s="29" t="s">
        <v>51</v>
      </c>
      <c r="I113" s="29">
        <v>0.105</v>
      </c>
      <c r="J113" s="29">
        <v>0.1</v>
      </c>
      <c r="K113" s="29">
        <v>0.10199999999999999</v>
      </c>
      <c r="L113" s="29">
        <v>9.8000000000000004E-2</v>
      </c>
      <c r="M113" s="30">
        <v>8.3297938918196424E-2</v>
      </c>
      <c r="N113" s="30">
        <v>8.5520016942695926E-2</v>
      </c>
      <c r="O113" s="30">
        <v>8.7185418321332489E-2</v>
      </c>
      <c r="P113" s="30">
        <v>8.6681501437724351E-2</v>
      </c>
      <c r="Q113" s="30">
        <v>8.7999999999999995E-2</v>
      </c>
      <c r="R113" s="30">
        <v>8.7999999999999995E-2</v>
      </c>
    </row>
    <row r="114" spans="1:18">
      <c r="A114" s="39">
        <v>100</v>
      </c>
      <c r="B114" s="40" t="s">
        <v>101</v>
      </c>
      <c r="G114" s="29" t="s">
        <v>51</v>
      </c>
      <c r="H114" s="29" t="s">
        <v>51</v>
      </c>
      <c r="I114" s="31">
        <v>5.5E-2</v>
      </c>
      <c r="J114" s="31">
        <v>5.1999999999999998E-2</v>
      </c>
      <c r="K114" s="31">
        <v>5.1999999999999998E-2</v>
      </c>
      <c r="L114" s="31">
        <v>4.8000000000000001E-2</v>
      </c>
      <c r="M114" s="30">
        <v>4.0231888705646007E-2</v>
      </c>
      <c r="N114" s="30">
        <v>4.3176826787451009E-2</v>
      </c>
      <c r="O114" s="30">
        <v>4.4499578680161404E-2</v>
      </c>
      <c r="P114" s="30">
        <v>4.2668457525681526E-2</v>
      </c>
      <c r="Q114" s="30">
        <v>4.2999999999999997E-2</v>
      </c>
      <c r="R114" s="30">
        <v>4.2999999999999997E-2</v>
      </c>
    </row>
    <row r="115" spans="1:18">
      <c r="A115" s="39">
        <v>101</v>
      </c>
      <c r="B115" s="40" t="s">
        <v>102</v>
      </c>
      <c r="G115" s="29" t="s">
        <v>51</v>
      </c>
      <c r="H115" s="29" t="s">
        <v>51</v>
      </c>
      <c r="I115" s="31">
        <v>4.4999999999999998E-2</v>
      </c>
      <c r="J115" s="31">
        <v>4.4999999999999998E-2</v>
      </c>
      <c r="K115" s="31">
        <v>4.4999999999999998E-2</v>
      </c>
      <c r="L115" s="31">
        <v>4.2999999999999997E-2</v>
      </c>
      <c r="M115" s="30">
        <v>3.618310387082551E-2</v>
      </c>
      <c r="N115" s="30">
        <v>3.8142668443685655E-2</v>
      </c>
      <c r="O115" s="30">
        <v>4.1128106498813176E-2</v>
      </c>
      <c r="P115" s="30">
        <v>4.2747157694961804E-2</v>
      </c>
      <c r="Q115" s="30">
        <v>4.4999999999999998E-2</v>
      </c>
      <c r="R115" s="30">
        <v>4.4999999999999998E-2</v>
      </c>
    </row>
    <row r="116" spans="1:18">
      <c r="A116" s="39">
        <v>102</v>
      </c>
      <c r="G116" s="4"/>
      <c r="H116" s="4"/>
      <c r="I116" s="4"/>
      <c r="J116" s="4"/>
      <c r="K116" s="4"/>
      <c r="L116" s="4"/>
      <c r="M116" s="5"/>
      <c r="N116" s="5"/>
      <c r="O116" s="5"/>
      <c r="P116" s="5"/>
      <c r="Q116" s="5"/>
      <c r="R116" s="5"/>
    </row>
    <row r="117" spans="1:18">
      <c r="A117" s="39">
        <v>103</v>
      </c>
      <c r="B117" s="49" t="s">
        <v>103</v>
      </c>
      <c r="C117" s="50"/>
      <c r="D117" s="50"/>
      <c r="E117" s="50"/>
      <c r="G117" s="4"/>
      <c r="H117" s="4"/>
      <c r="I117" s="4"/>
      <c r="J117" s="4"/>
      <c r="K117" s="4"/>
      <c r="L117" s="4"/>
      <c r="M117" s="5"/>
      <c r="N117" s="5"/>
      <c r="O117" s="5"/>
      <c r="P117" s="5"/>
      <c r="Q117" s="5"/>
      <c r="R117" s="5"/>
    </row>
    <row r="118" spans="1:18">
      <c r="A118" s="39">
        <v>104</v>
      </c>
      <c r="B118" s="40" t="s">
        <v>104</v>
      </c>
      <c r="D118" s="40" t="s">
        <v>105</v>
      </c>
      <c r="G118" s="4"/>
      <c r="H118" s="4"/>
      <c r="I118" s="4"/>
      <c r="J118" s="4"/>
      <c r="K118" s="4"/>
      <c r="L118" s="4"/>
      <c r="M118" s="5"/>
      <c r="N118" s="5"/>
      <c r="O118" s="5"/>
      <c r="P118" s="5"/>
      <c r="Q118" s="5"/>
      <c r="R118" s="5"/>
    </row>
    <row r="119" spans="1:18">
      <c r="A119" s="39">
        <v>105</v>
      </c>
      <c r="B119" s="40" t="s">
        <v>106</v>
      </c>
      <c r="G119" s="4">
        <f>[3]K!$G$119</f>
        <v>10026.385522694047</v>
      </c>
      <c r="H119" s="4">
        <f>[3]K!$H$119</f>
        <v>9997.1595259268761</v>
      </c>
      <c r="I119" s="4">
        <v>9094</v>
      </c>
      <c r="J119" s="4">
        <v>9826</v>
      </c>
      <c r="K119" s="4">
        <f>ROUND((11728915/1000),0)</f>
        <v>11729</v>
      </c>
      <c r="L119" s="4">
        <f>ROUND((10695101/1000),0)</f>
        <v>10695</v>
      </c>
      <c r="M119" s="5">
        <f>ROUND((8433486/1000),0)</f>
        <v>8433</v>
      </c>
      <c r="N119" s="5">
        <f>ROUND((10186607/1000),0)</f>
        <v>10187</v>
      </c>
      <c r="O119" s="5">
        <f>ROUND((10734768/1000),0)</f>
        <v>10735</v>
      </c>
      <c r="P119" s="5">
        <f>ROUND((10260714/1000),0)</f>
        <v>10261</v>
      </c>
      <c r="Q119" s="5">
        <v>10854.609817299999</v>
      </c>
      <c r="R119" s="5">
        <v>10384.574465399999</v>
      </c>
    </row>
    <row r="120" spans="1:18">
      <c r="A120" s="39">
        <v>106</v>
      </c>
      <c r="B120" s="40" t="s">
        <v>107</v>
      </c>
      <c r="G120" s="4">
        <f>[3]K!$G$120</f>
        <v>4895.8320899999999</v>
      </c>
      <c r="H120" s="4">
        <f>[3]K!$H$120</f>
        <v>4895.8320899999999</v>
      </c>
      <c r="I120" s="4">
        <v>4538</v>
      </c>
      <c r="J120" s="4">
        <v>4845</v>
      </c>
      <c r="K120" s="4">
        <f>ROUND((5649913/1000),0)</f>
        <v>5650</v>
      </c>
      <c r="L120" s="4">
        <f>ROUND((5142593/1000),0)</f>
        <v>5143</v>
      </c>
      <c r="M120" s="5">
        <f>ROUND((3972339/1000),0)</f>
        <v>3972</v>
      </c>
      <c r="N120" s="5">
        <f>ROUND((4642085/1000),0)</f>
        <v>4642</v>
      </c>
      <c r="O120" s="5">
        <f>ROUND((5049061/1000),0)</f>
        <v>5049</v>
      </c>
      <c r="P120" s="5">
        <f>ROUND((4658805/1000),0)</f>
        <v>4659</v>
      </c>
      <c r="Q120" s="5">
        <v>5017.1545153999996</v>
      </c>
      <c r="R120" s="5">
        <v>4793.0605848999994</v>
      </c>
    </row>
    <row r="121" spans="1:18">
      <c r="A121" s="39">
        <v>107</v>
      </c>
      <c r="B121" s="40" t="s">
        <v>108</v>
      </c>
      <c r="G121" s="4">
        <f>[3]K!$G$121</f>
        <v>972.67046000000005</v>
      </c>
      <c r="H121" s="4">
        <f>[3]K!$H$121</f>
        <v>972.67046000000016</v>
      </c>
      <c r="I121" s="4">
        <v>1048</v>
      </c>
      <c r="J121" s="4">
        <v>693</v>
      </c>
      <c r="K121" s="4">
        <f>ROUND((810265/1000),0)</f>
        <v>810</v>
      </c>
      <c r="L121" s="4">
        <f>ROUND((810979/1000),0)</f>
        <v>811</v>
      </c>
      <c r="M121" s="5">
        <f>ROUND((995095/1000),0)</f>
        <v>995</v>
      </c>
      <c r="N121" s="5">
        <f>ROUND((821135/1000),0)</f>
        <v>821</v>
      </c>
      <c r="O121" s="5">
        <f>ROUND((724157/1000),0)</f>
        <v>724</v>
      </c>
      <c r="P121" s="5">
        <f>ROUND((960090/1000),0)</f>
        <v>960</v>
      </c>
      <c r="Q121" s="5">
        <v>1714.5599533</v>
      </c>
      <c r="R121" s="5">
        <v>1757.0290563999999</v>
      </c>
    </row>
    <row r="122" spans="1:18">
      <c r="A122" s="39">
        <v>108</v>
      </c>
      <c r="B122" s="40" t="s">
        <v>109</v>
      </c>
      <c r="G122" s="4">
        <f>[3]K!$G$122</f>
        <v>963.10667000000001</v>
      </c>
      <c r="H122" s="4">
        <f>[3]K!$H$122</f>
        <v>963.10667000000001</v>
      </c>
      <c r="I122" s="4">
        <v>916</v>
      </c>
      <c r="J122" s="4">
        <v>1025</v>
      </c>
      <c r="K122" s="4">
        <f>ROUND((1233922/1000),0)</f>
        <v>1234</v>
      </c>
      <c r="L122" s="4">
        <f>ROUND((1179422/1000),0)</f>
        <v>1179</v>
      </c>
      <c r="M122" s="5">
        <f>ROUND((980278/1000),0)</f>
        <v>980</v>
      </c>
      <c r="N122" s="5">
        <f>ROUND((1110936/1000),0)</f>
        <v>1111</v>
      </c>
      <c r="O122" s="5">
        <f>ROUND((1191868/1000),0)</f>
        <v>1192</v>
      </c>
      <c r="P122" s="5">
        <f>ROUND((1176049/1000),0)</f>
        <v>1176</v>
      </c>
      <c r="Q122" s="5">
        <v>1252.6995403999999</v>
      </c>
      <c r="R122" s="5">
        <v>1194.8405935000001</v>
      </c>
    </row>
    <row r="123" spans="1:18">
      <c r="A123" s="39">
        <v>109</v>
      </c>
      <c r="B123" s="56" t="s">
        <v>110</v>
      </c>
      <c r="G123" s="32">
        <f>[3]K!$G$123</f>
        <v>0</v>
      </c>
      <c r="H123" s="32">
        <f>[3]K!$H$123</f>
        <v>0</v>
      </c>
      <c r="I123" s="32"/>
      <c r="J123" s="32"/>
      <c r="K123" s="32"/>
      <c r="L123" s="32"/>
      <c r="M123" s="33"/>
      <c r="N123" s="33"/>
      <c r="O123" s="33"/>
      <c r="P123" s="33"/>
      <c r="Q123" s="33"/>
      <c r="R123" s="33"/>
    </row>
    <row r="124" spans="1:18">
      <c r="A124" s="39">
        <v>110</v>
      </c>
      <c r="B124" s="40" t="s">
        <v>111</v>
      </c>
      <c r="G124" s="4">
        <f>SUM(G119:G123)</f>
        <v>16857.994742694045</v>
      </c>
      <c r="H124" s="4">
        <f>SUM(H119:H123)</f>
        <v>16828.768745926875</v>
      </c>
      <c r="I124" s="5">
        <f t="shared" ref="I124:O124" si="29">SUM(I119:I123)</f>
        <v>15596</v>
      </c>
      <c r="J124" s="5">
        <f t="shared" si="29"/>
        <v>16389</v>
      </c>
      <c r="K124" s="5">
        <f t="shared" si="29"/>
        <v>19423</v>
      </c>
      <c r="L124" s="5">
        <f t="shared" si="29"/>
        <v>17828</v>
      </c>
      <c r="M124" s="5">
        <f t="shared" si="29"/>
        <v>14380</v>
      </c>
      <c r="N124" s="5">
        <f t="shared" si="29"/>
        <v>16761</v>
      </c>
      <c r="O124" s="5">
        <f t="shared" si="29"/>
        <v>17700</v>
      </c>
      <c r="P124" s="5">
        <f>SUM(P119:P123)</f>
        <v>17056</v>
      </c>
      <c r="Q124" s="5">
        <f t="shared" ref="Q124:R124" si="30">Q119+Q120+Q121+Q122</f>
        <v>18839.0238264</v>
      </c>
      <c r="R124" s="5">
        <f t="shared" si="30"/>
        <v>18129.504700199999</v>
      </c>
    </row>
    <row r="125" spans="1:18">
      <c r="A125" s="39">
        <v>111</v>
      </c>
      <c r="G125" s="4"/>
      <c r="H125" s="4"/>
      <c r="I125" s="4"/>
      <c r="J125" s="4"/>
      <c r="K125" s="4"/>
      <c r="L125" s="4"/>
      <c r="M125" s="5"/>
      <c r="N125" s="5"/>
      <c r="O125" s="5"/>
      <c r="P125" s="5"/>
      <c r="Q125" s="5"/>
      <c r="R125" s="5"/>
    </row>
    <row r="126" spans="1:18">
      <c r="A126" s="39">
        <v>112</v>
      </c>
      <c r="B126" s="40" t="s">
        <v>112</v>
      </c>
      <c r="D126" s="40" t="s">
        <v>105</v>
      </c>
      <c r="G126" s="4"/>
      <c r="H126" s="4"/>
      <c r="I126" s="4"/>
      <c r="J126" s="4"/>
      <c r="K126" s="4"/>
      <c r="L126" s="4"/>
      <c r="M126" s="5"/>
      <c r="N126" s="5"/>
      <c r="O126" s="5"/>
      <c r="P126" s="5"/>
      <c r="Q126" s="5"/>
      <c r="R126" s="5"/>
    </row>
    <row r="127" spans="1:18">
      <c r="A127" s="39">
        <v>113</v>
      </c>
      <c r="B127" s="40"/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</row>
    <row r="128" spans="1:18">
      <c r="A128" s="39">
        <v>114</v>
      </c>
      <c r="B128" s="40" t="s">
        <v>113</v>
      </c>
      <c r="G128" s="4">
        <f t="shared" ref="G128" si="31">G130-G127</f>
        <v>17178.296642805231</v>
      </c>
      <c r="H128" s="4">
        <f>H130-H127</f>
        <v>17148.515352099486</v>
      </c>
      <c r="I128" s="5">
        <f t="shared" ref="I128" si="32">I130-I127</f>
        <v>15417</v>
      </c>
      <c r="J128" s="5">
        <f>J130-J127</f>
        <v>18606</v>
      </c>
      <c r="K128" s="5">
        <f t="shared" ref="K128:L128" si="33">K130-K127</f>
        <v>21324</v>
      </c>
      <c r="L128" s="5">
        <f t="shared" si="33"/>
        <v>18367</v>
      </c>
      <c r="M128" s="5">
        <f>M130-M127</f>
        <v>17441</v>
      </c>
      <c r="N128" s="5">
        <f t="shared" ref="N128:P128" si="34">N130-N127</f>
        <v>16748</v>
      </c>
      <c r="O128" s="5">
        <f t="shared" si="34"/>
        <v>17596</v>
      </c>
      <c r="P128" s="5">
        <f t="shared" si="34"/>
        <v>17034</v>
      </c>
      <c r="Q128" s="5">
        <f t="shared" ref="Q128:R128" si="35">Q130-Q127</f>
        <v>18789.664000000001</v>
      </c>
      <c r="R128" s="5">
        <f t="shared" si="35"/>
        <v>19493.048999999999</v>
      </c>
    </row>
    <row r="129" spans="1:18">
      <c r="A129" s="39">
        <v>115</v>
      </c>
      <c r="G129" s="4"/>
      <c r="H129" s="4"/>
      <c r="I129" s="4"/>
      <c r="J129" s="4"/>
      <c r="K129" s="4"/>
      <c r="L129" s="4"/>
      <c r="M129" s="5"/>
      <c r="N129" s="5"/>
      <c r="O129" s="5"/>
      <c r="P129" s="5"/>
      <c r="Q129" s="5"/>
      <c r="R129" s="5"/>
    </row>
    <row r="130" spans="1:18">
      <c r="A130" s="39">
        <v>116</v>
      </c>
      <c r="B130" s="40" t="s">
        <v>114</v>
      </c>
      <c r="G130" s="57">
        <f>+G124+(0.019*G124)</f>
        <v>17178.296642805231</v>
      </c>
      <c r="H130" s="57">
        <f>+H124+(0.019*H124)</f>
        <v>17148.515352099486</v>
      </c>
      <c r="I130" s="5">
        <v>15417</v>
      </c>
      <c r="J130" s="5">
        <v>18606</v>
      </c>
      <c r="K130" s="5">
        <v>21324</v>
      </c>
      <c r="L130" s="5">
        <v>18367</v>
      </c>
      <c r="M130" s="5">
        <v>17441</v>
      </c>
      <c r="N130" s="5">
        <v>16748</v>
      </c>
      <c r="O130" s="5">
        <v>17596</v>
      </c>
      <c r="P130" s="5">
        <v>17034</v>
      </c>
      <c r="Q130" s="5">
        <v>18789.664000000001</v>
      </c>
      <c r="R130" s="5">
        <v>19493.048999999999</v>
      </c>
    </row>
    <row r="131" spans="1:18">
      <c r="A131" s="39">
        <v>117</v>
      </c>
      <c r="G131" s="4"/>
      <c r="H131" s="4"/>
      <c r="I131" s="4"/>
      <c r="J131" s="4"/>
      <c r="K131" s="4"/>
      <c r="L131" s="4"/>
      <c r="M131" s="5"/>
      <c r="N131" s="5"/>
      <c r="O131" s="5"/>
      <c r="P131" s="5"/>
      <c r="Q131" s="5"/>
      <c r="R131" s="5"/>
    </row>
    <row r="132" spans="1:18">
      <c r="A132" s="39">
        <v>118</v>
      </c>
      <c r="B132" s="40" t="s">
        <v>115</v>
      </c>
      <c r="G132" s="21">
        <f>[3]K!$G$132</f>
        <v>3.1671145996881644E-2</v>
      </c>
      <c r="H132" s="21">
        <f>[3]K!$H$132</f>
        <v>2.958794126568913E-2</v>
      </c>
      <c r="I132" s="34">
        <v>3.3300000000000003E-2</v>
      </c>
      <c r="J132" s="34">
        <v>3.6578607167145429E-2</v>
      </c>
      <c r="K132" s="21">
        <v>3.5000000000000003E-2</v>
      </c>
      <c r="L132" s="21">
        <v>3.3099999999999997E-2</v>
      </c>
      <c r="M132" s="19">
        <v>3.49E-2</v>
      </c>
      <c r="N132" s="19">
        <v>3.5799999999999998E-2</v>
      </c>
      <c r="O132" s="19">
        <v>3.4000000000000002E-2</v>
      </c>
      <c r="P132" s="19">
        <v>3.4299999999999997E-2</v>
      </c>
      <c r="Q132" s="19">
        <v>3.1732611870051476E-2</v>
      </c>
      <c r="R132" s="19">
        <v>3.4804141665331238E-2</v>
      </c>
    </row>
    <row r="133" spans="1:18">
      <c r="A133" s="40"/>
      <c r="B133" s="40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</row>
    <row r="134" spans="1:18">
      <c r="B134" s="1" t="s">
        <v>116</v>
      </c>
    </row>
    <row r="135" spans="1:18">
      <c r="B135" s="40" t="s">
        <v>117</v>
      </c>
    </row>
    <row r="136" spans="1:18">
      <c r="B136" s="3"/>
    </row>
  </sheetData>
  <mergeCells count="7">
    <mergeCell ref="A6:R6"/>
    <mergeCell ref="I12:R12"/>
    <mergeCell ref="A1:R1"/>
    <mergeCell ref="A2:R2"/>
    <mergeCell ref="A3:R3"/>
    <mergeCell ref="A4:R4"/>
    <mergeCell ref="A5:R5"/>
  </mergeCells>
  <printOptions horizontalCentered="1"/>
  <pageMargins left="0.75" right="0.75" top="0.75" bottom="1" header="0.5" footer="0.5"/>
  <pageSetup scale="53" fitToHeight="0" orientation="landscape" r:id="rId1"/>
  <headerFooter alignWithMargins="0">
    <oddFooter>&amp;RSchedule &amp;A
Page &amp;P of &amp;N</oddFooter>
  </headerFooter>
  <rowBreaks count="2" manualBreakCount="2">
    <brk id="46" max="17" man="1"/>
    <brk id="8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</vt:lpstr>
      <vt:lpstr>K!Print_Area</vt:lpstr>
      <vt:lpstr>K!Print_Titles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 Yurova</dc:creator>
  <cp:lastModifiedBy>Brannon C Taylor</cp:lastModifiedBy>
  <cp:lastPrinted>2017-07-25T18:15:45Z</cp:lastPrinted>
  <dcterms:created xsi:type="dcterms:W3CDTF">2017-07-20T19:47:21Z</dcterms:created>
  <dcterms:modified xsi:type="dcterms:W3CDTF">2017-10-10T15:53:29Z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