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MdSt-TN Case\2017 TN ANNUAL REVIEW MECHANISM\Relied Upons\"/>
    </mc:Choice>
  </mc:AlternateContent>
  <bookViews>
    <workbookView xWindow="0" yWindow="0" windowWidth="19440" windowHeight="9495" tabRatio="769" firstSheet="1" activeTab="8"/>
  </bookViews>
  <sheets>
    <sheet name="Version history" sheetId="91" state="hidden" r:id="rId1"/>
    <sheet name="Composite FY17" sheetId="74" r:id="rId2"/>
    <sheet name="Check current to prior" sheetId="90" state="hidden" r:id="rId3"/>
    <sheet name="Mid States FY17" sheetId="12" r:id="rId4"/>
    <sheet name="CO KS FY17" sheetId="13" r:id="rId5"/>
    <sheet name="COdiv 2017" sheetId="19" r:id="rId6"/>
    <sheet name="West Texas FY17" sheetId="14" r:id="rId7"/>
    <sheet name="Div 002 Rates" sheetId="4" r:id="rId8"/>
    <sheet name="Div 002 Rates (Excluding APT)" sheetId="94" r:id="rId9"/>
    <sheet name="Div 012 Rates" sheetId="9" r:id="rId10"/>
    <sheet name="Sum customer count" sheetId="75" r:id="rId11"/>
    <sheet name="Summary WTX" sheetId="84" r:id="rId12"/>
    <sheet name="Summary CO-KS" sheetId="86" r:id="rId13"/>
    <sheet name="Summary LA" sheetId="83" r:id="rId14"/>
    <sheet name="Summary Kentucky-Midstates" sheetId="85" r:id="rId15"/>
    <sheet name="Summary MS" sheetId="87" r:id="rId16"/>
    <sheet name="Summary Mid Tex" sheetId="88" r:id="rId17"/>
    <sheet name="Summary AtmosPipeline" sheetId="89" r:id="rId18"/>
    <sheet name="Houston" sheetId="95" r:id="rId19"/>
    <sheet name="TLGP" sheetId="96" r:id="rId20"/>
  </sheets>
  <externalReferences>
    <externalReference r:id="rId21"/>
    <externalReference r:id="rId22"/>
    <externalReference r:id="rId23"/>
  </externalReferences>
  <definedNames>
    <definedName name="ALL" localSheetId="2">#REF!</definedName>
    <definedName name="ALL" localSheetId="1">#REF!</definedName>
    <definedName name="ALL" localSheetId="8">#REF!</definedName>
    <definedName name="ALL" localSheetId="10">#REF!</definedName>
    <definedName name="ALL">#REF!</definedName>
    <definedName name="csAllowDetailBudgeting">1</definedName>
    <definedName name="csAllowLocalConsolidation">1</definedName>
    <definedName name="csAppName">"BudgetWeb"</definedName>
    <definedName name="csDE_CorporateItems_Dim01">"="</definedName>
    <definedName name="csDE_CorporateItems_Dim02">"="</definedName>
    <definedName name="csDE_CorporateItems_Dim03">"="</definedName>
    <definedName name="csDE_CorporateItems_Dim06">"="</definedName>
    <definedName name="csDE_CorporateItems_Dim07">"="</definedName>
    <definedName name="csDE_CorporateItems_Dim08">"="</definedName>
    <definedName name="csDE_CorporateItems_Dim09">"="</definedName>
    <definedName name="csDE_CorporateItems_Dim10">"="</definedName>
    <definedName name="csDesignMode">1</definedName>
    <definedName name="csDetailBudgetingURL">"http://server/deciweb/tr/trmain.asp?App=BudgetWeb&amp;Cat=Detail+Budgeting"</definedName>
    <definedName name="csKeepAlive">5</definedName>
    <definedName name="csLocalConsolidationOnSubmit">1</definedName>
    <definedName name="csRefreshOnOpen">1</definedName>
    <definedName name="csRefreshOnRotate">1</definedName>
    <definedName name="input" localSheetId="2">#REF!</definedName>
    <definedName name="input" localSheetId="1">#REF!</definedName>
    <definedName name="input" localSheetId="8">#REF!</definedName>
    <definedName name="input" localSheetId="10">#REF!</definedName>
    <definedName name="input">#REF!</definedName>
    <definedName name="METER" localSheetId="2">#REF!</definedName>
    <definedName name="METER" localSheetId="1">#REF!</definedName>
    <definedName name="METER" localSheetId="8">#REF!</definedName>
    <definedName name="METER" localSheetId="10">#REF!</definedName>
    <definedName name="METER">#REF!</definedName>
    <definedName name="PLANT" localSheetId="2">#REF!</definedName>
    <definedName name="PLANT" localSheetId="1">#REF!</definedName>
    <definedName name="PLANT" localSheetId="8">#REF!</definedName>
    <definedName name="PLANT" localSheetId="10">#REF!</definedName>
    <definedName name="PLANT">#REF!</definedName>
    <definedName name="_xlnm.Print_Area" localSheetId="2">'Check current to prior'!$A$1:$AG$186</definedName>
    <definedName name="_xlnm.Print_Area" localSheetId="1">'Composite FY17'!$A$1:$AG$195</definedName>
    <definedName name="Print_Area_MI">'[1]Short Summary'!$A$7:$E$64</definedName>
    <definedName name="_xlnm.Print_Titles" localSheetId="2">'Check current to prior'!$3:$6</definedName>
    <definedName name="_xlnm.Print_Titles" localSheetId="1">'Composite FY17'!$3:$6</definedName>
    <definedName name="report" localSheetId="2">#REF!</definedName>
    <definedName name="report" localSheetId="1">#REF!</definedName>
    <definedName name="report" localSheetId="8">#REF!</definedName>
    <definedName name="report" localSheetId="10">#REF!</definedName>
    <definedName name="report">#REF!</definedName>
  </definedNames>
  <calcPr calcId="152511" iterate="1"/>
</workbook>
</file>

<file path=xl/calcChain.xml><?xml version="1.0" encoding="utf-8"?>
<calcChain xmlns="http://schemas.openxmlformats.org/spreadsheetml/2006/main">
  <c r="O11" i="12" l="1"/>
  <c r="W10" i="74" l="1"/>
  <c r="C11" i="12" l="1"/>
  <c r="Q10" i="74" l="1"/>
  <c r="U234" i="74" l="1"/>
  <c r="U236" i="74"/>
  <c r="J234" i="74" l="1"/>
  <c r="K234" i="74"/>
  <c r="M234" i="74"/>
  <c r="N234" i="74"/>
  <c r="O234" i="74"/>
  <c r="P234" i="74"/>
  <c r="Q234" i="74"/>
  <c r="S234" i="74"/>
  <c r="T234" i="74"/>
  <c r="V234" i="74"/>
  <c r="Y234" i="74"/>
  <c r="Z234" i="74"/>
  <c r="AA234" i="74"/>
  <c r="AB234" i="74"/>
  <c r="AC234" i="74"/>
  <c r="AD234" i="74"/>
  <c r="AE234" i="74"/>
  <c r="AF234" i="74"/>
  <c r="AH234" i="74"/>
  <c r="AI234" i="74"/>
  <c r="AJ234" i="74"/>
  <c r="AK234" i="74"/>
  <c r="AL234" i="74"/>
  <c r="AM234" i="74"/>
  <c r="AN234" i="74"/>
  <c r="AO234" i="74"/>
  <c r="AP234" i="74"/>
  <c r="AQ234" i="74"/>
  <c r="AR234" i="74"/>
  <c r="AS234" i="74"/>
  <c r="AT234" i="74"/>
  <c r="AU234" i="74"/>
  <c r="AV234" i="74"/>
  <c r="AW234" i="74"/>
  <c r="AX234" i="74"/>
  <c r="AY234" i="74"/>
  <c r="AZ234" i="74"/>
  <c r="BA234" i="74"/>
  <c r="BB234" i="74"/>
  <c r="BC234" i="74"/>
  <c r="BD234" i="74"/>
  <c r="BE234" i="74"/>
  <c r="BF234" i="74"/>
  <c r="J235" i="74"/>
  <c r="N235" i="74"/>
  <c r="P235" i="74"/>
  <c r="T235" i="74"/>
  <c r="V235" i="74"/>
  <c r="Y235" i="74"/>
  <c r="Z235" i="74"/>
  <c r="AA235" i="74"/>
  <c r="AB235" i="74"/>
  <c r="AC235" i="74"/>
  <c r="AD235" i="74"/>
  <c r="AE235" i="74"/>
  <c r="AF235" i="74"/>
  <c r="AH235" i="74"/>
  <c r="AI235" i="74"/>
  <c r="AJ235" i="74"/>
  <c r="AK235" i="74"/>
  <c r="AL235" i="74"/>
  <c r="AM235" i="74"/>
  <c r="AN235" i="74"/>
  <c r="AO235" i="74"/>
  <c r="AP235" i="74"/>
  <c r="AQ235" i="74"/>
  <c r="AR235" i="74"/>
  <c r="AS235" i="74"/>
  <c r="AT235" i="74"/>
  <c r="AU235" i="74"/>
  <c r="AV235" i="74"/>
  <c r="AW235" i="74"/>
  <c r="AX235" i="74"/>
  <c r="AY235" i="74"/>
  <c r="AZ235" i="74"/>
  <c r="BA235" i="74"/>
  <c r="BB235" i="74"/>
  <c r="BC235" i="74"/>
  <c r="BD235" i="74"/>
  <c r="BE235" i="74"/>
  <c r="BF235" i="74"/>
  <c r="J236" i="74"/>
  <c r="K236" i="74"/>
  <c r="M236" i="74"/>
  <c r="N236" i="74"/>
  <c r="O236" i="74"/>
  <c r="P236" i="74"/>
  <c r="Q236" i="74"/>
  <c r="S236" i="74"/>
  <c r="T236" i="74"/>
  <c r="V236" i="74"/>
  <c r="Y236" i="74"/>
  <c r="Z236" i="74"/>
  <c r="AA236" i="74"/>
  <c r="AB236" i="74"/>
  <c r="AC236" i="74"/>
  <c r="AD236" i="74"/>
  <c r="AE236" i="74"/>
  <c r="AF236" i="74"/>
  <c r="AH236" i="74"/>
  <c r="AI236" i="74"/>
  <c r="AJ236" i="74"/>
  <c r="AK236" i="74"/>
  <c r="AL236" i="74"/>
  <c r="AM236" i="74"/>
  <c r="AN236" i="74"/>
  <c r="AO236" i="74"/>
  <c r="AP236" i="74"/>
  <c r="AQ236" i="74"/>
  <c r="AR236" i="74"/>
  <c r="AS236" i="74"/>
  <c r="AT236" i="74"/>
  <c r="AU236" i="74"/>
  <c r="AV236" i="74"/>
  <c r="AW236" i="74"/>
  <c r="AX236" i="74"/>
  <c r="AY236" i="74"/>
  <c r="AZ236" i="74"/>
  <c r="BA236" i="74"/>
  <c r="BB236" i="74"/>
  <c r="BC236" i="74"/>
  <c r="BD236" i="74"/>
  <c r="BE236" i="74"/>
  <c r="BF236" i="74"/>
  <c r="I236" i="74"/>
  <c r="I234" i="74"/>
  <c r="M32" i="74" l="1"/>
  <c r="M30" i="74"/>
  <c r="AG10" i="74" l="1"/>
  <c r="AG11" i="74"/>
  <c r="AG235" i="74" s="1"/>
  <c r="AG12" i="74"/>
  <c r="G12" i="74" l="1"/>
  <c r="AC17" i="74" s="1"/>
  <c r="AG236" i="74"/>
  <c r="G10" i="74"/>
  <c r="AG234" i="74"/>
  <c r="Q12" i="4"/>
  <c r="K239" i="74" l="1"/>
  <c r="U17" i="74"/>
  <c r="U15" i="74"/>
  <c r="G236" i="74"/>
  <c r="AG241" i="74" s="1"/>
  <c r="AC15" i="74"/>
  <c r="G234" i="74"/>
  <c r="AG239" i="74" s="1"/>
  <c r="R12" i="4"/>
  <c r="S12" i="4"/>
  <c r="G14" i="14"/>
  <c r="Q241" i="74" l="1"/>
  <c r="BF241" i="74"/>
  <c r="AM241" i="74"/>
  <c r="AI241" i="74"/>
  <c r="M241" i="74"/>
  <c r="AS241" i="74"/>
  <c r="AW241" i="74"/>
  <c r="O241" i="74"/>
  <c r="BD241" i="74"/>
  <c r="BB241" i="74"/>
  <c r="AU241" i="74"/>
  <c r="AO241" i="74"/>
  <c r="W241" i="74"/>
  <c r="K241" i="74"/>
  <c r="AQ241" i="74"/>
  <c r="U241" i="74"/>
  <c r="Y241" i="74"/>
  <c r="AY241" i="74"/>
  <c r="AC241" i="74"/>
  <c r="AE241" i="74"/>
  <c r="S241" i="74"/>
  <c r="AA241" i="74"/>
  <c r="AK241" i="74"/>
  <c r="BD239" i="74"/>
  <c r="O239" i="74"/>
  <c r="BF239" i="74"/>
  <c r="S239" i="74"/>
  <c r="AY239" i="74"/>
  <c r="U239" i="74"/>
  <c r="AC239" i="74"/>
  <c r="Y239" i="74"/>
  <c r="AI239" i="74"/>
  <c r="AK239" i="74"/>
  <c r="AQ239" i="74"/>
  <c r="AS239" i="74"/>
  <c r="W239" i="74"/>
  <c r="Q239" i="74"/>
  <c r="AA239" i="74"/>
  <c r="AU239" i="74"/>
  <c r="AW239" i="74"/>
  <c r="M239" i="74"/>
  <c r="BB239" i="74"/>
  <c r="AE239" i="74"/>
  <c r="AO239" i="74"/>
  <c r="AM239" i="74"/>
  <c r="AM17" i="74"/>
  <c r="AM15" i="74"/>
  <c r="E14" i="14"/>
  <c r="E21" i="14"/>
  <c r="I239" i="74" l="1"/>
  <c r="G239" i="74" s="1"/>
  <c r="I241" i="74"/>
  <c r="G241" i="74" s="1"/>
  <c r="E29" i="14"/>
  <c r="C31" i="14" l="1"/>
  <c r="C14" i="14"/>
  <c r="C29" i="14" s="1"/>
  <c r="N20" i="84" l="1"/>
  <c r="M20" i="84"/>
  <c r="L20" i="84"/>
  <c r="K20" i="84"/>
  <c r="J20" i="84"/>
  <c r="I20" i="84"/>
  <c r="H20" i="84"/>
  <c r="G20" i="84"/>
  <c r="F20" i="84"/>
  <c r="E20" i="84"/>
  <c r="D20" i="84"/>
  <c r="C20" i="84"/>
  <c r="B20" i="84"/>
  <c r="N19" i="84"/>
  <c r="M19" i="84"/>
  <c r="L19" i="84"/>
  <c r="K19" i="84"/>
  <c r="J19" i="84"/>
  <c r="I19" i="84"/>
  <c r="H19" i="84"/>
  <c r="G19" i="84"/>
  <c r="F19" i="84"/>
  <c r="E19" i="84"/>
  <c r="D19" i="84"/>
  <c r="C19" i="84"/>
  <c r="B19" i="84"/>
  <c r="N18" i="84"/>
  <c r="M18" i="84"/>
  <c r="L18" i="84"/>
  <c r="K18" i="84"/>
  <c r="J18" i="84"/>
  <c r="I18" i="84"/>
  <c r="H18" i="84"/>
  <c r="G18" i="84"/>
  <c r="F18" i="84"/>
  <c r="E18" i="84"/>
  <c r="D18" i="84"/>
  <c r="C18" i="84"/>
  <c r="B18" i="84"/>
  <c r="N17" i="84"/>
  <c r="M17" i="84"/>
  <c r="L17" i="84"/>
  <c r="K17" i="84"/>
  <c r="J17" i="84"/>
  <c r="I17" i="84"/>
  <c r="H17" i="84"/>
  <c r="G17" i="84"/>
  <c r="F17" i="84"/>
  <c r="E17" i="84"/>
  <c r="D17" i="84"/>
  <c r="C17" i="84"/>
  <c r="B17" i="84"/>
  <c r="N16" i="84"/>
  <c r="M16" i="84"/>
  <c r="L16" i="84"/>
  <c r="K16" i="84"/>
  <c r="J16" i="84"/>
  <c r="I16" i="84"/>
  <c r="H16" i="84"/>
  <c r="G16" i="84"/>
  <c r="F16" i="84"/>
  <c r="E16" i="84"/>
  <c r="D16" i="84"/>
  <c r="C16" i="84"/>
  <c r="B16" i="84"/>
  <c r="N15" i="84"/>
  <c r="M15" i="84"/>
  <c r="L15" i="84"/>
  <c r="K15" i="84"/>
  <c r="J15" i="84"/>
  <c r="I15" i="84"/>
  <c r="H15" i="84"/>
  <c r="G15" i="84"/>
  <c r="F15" i="84"/>
  <c r="E15" i="84"/>
  <c r="D15" i="84"/>
  <c r="C15" i="84"/>
  <c r="B15" i="84"/>
  <c r="N14" i="84"/>
  <c r="M14" i="84"/>
  <c r="L14" i="84"/>
  <c r="K14" i="84"/>
  <c r="J14" i="84"/>
  <c r="I14" i="84"/>
  <c r="H14" i="84"/>
  <c r="G14" i="84"/>
  <c r="F14" i="84"/>
  <c r="E14" i="84"/>
  <c r="D14" i="84"/>
  <c r="C14" i="84"/>
  <c r="B14" i="84"/>
  <c r="N13" i="84"/>
  <c r="M13" i="84"/>
  <c r="L13" i="84"/>
  <c r="K13" i="84"/>
  <c r="J13" i="84"/>
  <c r="I13" i="84"/>
  <c r="H13" i="84"/>
  <c r="G13" i="84"/>
  <c r="F13" i="84"/>
  <c r="E13" i="84"/>
  <c r="D13" i="84"/>
  <c r="C13" i="84"/>
  <c r="B13" i="84"/>
  <c r="N12" i="84"/>
  <c r="M12" i="84"/>
  <c r="L12" i="84"/>
  <c r="K12" i="84"/>
  <c r="J12" i="84"/>
  <c r="I12" i="84"/>
  <c r="H12" i="84"/>
  <c r="G12" i="84"/>
  <c r="F12" i="84"/>
  <c r="E12" i="84"/>
  <c r="D12" i="84"/>
  <c r="C12" i="84"/>
  <c r="B12" i="84"/>
  <c r="N11" i="84"/>
  <c r="M11" i="84"/>
  <c r="L11" i="84"/>
  <c r="K11" i="84"/>
  <c r="J11" i="84"/>
  <c r="I11" i="84"/>
  <c r="H11" i="84"/>
  <c r="G11" i="84"/>
  <c r="F11" i="84"/>
  <c r="E11" i="84"/>
  <c r="D11" i="84"/>
  <c r="C11" i="84"/>
  <c r="B11" i="84"/>
  <c r="N10" i="84"/>
  <c r="M10" i="84"/>
  <c r="L10" i="84"/>
  <c r="K10" i="84"/>
  <c r="J10" i="84"/>
  <c r="I10" i="84"/>
  <c r="H10" i="84"/>
  <c r="G10" i="84"/>
  <c r="F10" i="84"/>
  <c r="E10" i="84"/>
  <c r="D10" i="84"/>
  <c r="C10" i="84"/>
  <c r="B10" i="84"/>
  <c r="N9" i="84"/>
  <c r="M9" i="84"/>
  <c r="L9" i="84"/>
  <c r="K9" i="84"/>
  <c r="J9" i="84"/>
  <c r="I9" i="84"/>
  <c r="H9" i="84"/>
  <c r="G9" i="84"/>
  <c r="F9" i="84"/>
  <c r="E9" i="84"/>
  <c r="D9" i="84"/>
  <c r="C9" i="84"/>
  <c r="B9" i="84"/>
  <c r="C22" i="84" l="1"/>
  <c r="G22" i="84"/>
  <c r="K22" i="84"/>
  <c r="O10" i="84"/>
  <c r="O14" i="84"/>
  <c r="O18" i="84"/>
  <c r="H22" i="84"/>
  <c r="O11" i="84"/>
  <c r="O15" i="84"/>
  <c r="E22" i="84"/>
  <c r="I22" i="84"/>
  <c r="M22" i="84"/>
  <c r="O12" i="84"/>
  <c r="O16" i="84"/>
  <c r="O20" i="84"/>
  <c r="D22" i="84"/>
  <c r="L22" i="84"/>
  <c r="O19" i="84"/>
  <c r="O9" i="84"/>
  <c r="F22" i="84"/>
  <c r="J22" i="84"/>
  <c r="N22" i="84"/>
  <c r="O13" i="84"/>
  <c r="O17" i="84"/>
  <c r="B22" i="84"/>
  <c r="O22" i="84" l="1"/>
  <c r="G29" i="14"/>
  <c r="C16" i="13" l="1"/>
  <c r="C12" i="13"/>
  <c r="C16" i="19"/>
  <c r="G15" i="12" l="1"/>
  <c r="E15" i="12" l="1"/>
  <c r="F12" i="12" s="1"/>
  <c r="F10" i="12" l="1"/>
  <c r="E19" i="12"/>
  <c r="F11" i="12"/>
  <c r="C17" i="12"/>
  <c r="C26" i="12" s="1"/>
  <c r="C15" i="12"/>
  <c r="D18" i="89" l="1"/>
  <c r="B22" i="88"/>
  <c r="B20" i="87"/>
  <c r="B19" i="87"/>
  <c r="B18" i="87"/>
  <c r="B17" i="87"/>
  <c r="B16" i="87"/>
  <c r="B15" i="87"/>
  <c r="B14" i="87"/>
  <c r="B13" i="87"/>
  <c r="B12" i="87"/>
  <c r="B11" i="87"/>
  <c r="B10" i="87"/>
  <c r="B9" i="87"/>
  <c r="D20" i="85"/>
  <c r="C20" i="85"/>
  <c r="B20" i="85"/>
  <c r="D19" i="85"/>
  <c r="C19" i="85"/>
  <c r="B19" i="85"/>
  <c r="D18" i="85"/>
  <c r="C18" i="85"/>
  <c r="B18" i="85"/>
  <c r="D17" i="85"/>
  <c r="C17" i="85"/>
  <c r="B17" i="85"/>
  <c r="D16" i="85"/>
  <c r="C16" i="85"/>
  <c r="B16" i="85"/>
  <c r="D15" i="85"/>
  <c r="C15" i="85"/>
  <c r="B15" i="85"/>
  <c r="D14" i="85"/>
  <c r="C14" i="85"/>
  <c r="B14" i="85"/>
  <c r="D13" i="85"/>
  <c r="C13" i="85"/>
  <c r="B13" i="85"/>
  <c r="D12" i="85"/>
  <c r="C12" i="85"/>
  <c r="B12" i="85"/>
  <c r="D11" i="85"/>
  <c r="C11" i="85"/>
  <c r="B11" i="85"/>
  <c r="D10" i="85"/>
  <c r="C10" i="85"/>
  <c r="B10" i="85"/>
  <c r="D9" i="85"/>
  <c r="C9" i="85"/>
  <c r="B9" i="85"/>
  <c r="F20" i="86"/>
  <c r="E20" i="86"/>
  <c r="D20" i="86"/>
  <c r="C20" i="86"/>
  <c r="B20" i="86"/>
  <c r="F19" i="86"/>
  <c r="E19" i="86"/>
  <c r="D19" i="86"/>
  <c r="C19" i="86"/>
  <c r="B19" i="86"/>
  <c r="F18" i="86"/>
  <c r="E18" i="86"/>
  <c r="D18" i="86"/>
  <c r="C18" i="86"/>
  <c r="B18" i="86"/>
  <c r="F17" i="86"/>
  <c r="E17" i="86"/>
  <c r="D17" i="86"/>
  <c r="C17" i="86"/>
  <c r="B17" i="86"/>
  <c r="F16" i="86"/>
  <c r="E16" i="86"/>
  <c r="D16" i="86"/>
  <c r="C16" i="86"/>
  <c r="B16" i="86"/>
  <c r="F15" i="86"/>
  <c r="E15" i="86"/>
  <c r="D15" i="86"/>
  <c r="C15" i="86"/>
  <c r="B15" i="86"/>
  <c r="F14" i="86"/>
  <c r="E14" i="86"/>
  <c r="D14" i="86"/>
  <c r="C14" i="86"/>
  <c r="B14" i="86"/>
  <c r="F13" i="86"/>
  <c r="E13" i="86"/>
  <c r="D13" i="86"/>
  <c r="C13" i="86"/>
  <c r="B13" i="86"/>
  <c r="F12" i="86"/>
  <c r="E12" i="86"/>
  <c r="D12" i="86"/>
  <c r="C12" i="86"/>
  <c r="B12" i="86"/>
  <c r="F11" i="86"/>
  <c r="E11" i="86"/>
  <c r="D11" i="86"/>
  <c r="C11" i="86"/>
  <c r="B11" i="86"/>
  <c r="F10" i="86"/>
  <c r="E10" i="86"/>
  <c r="D10" i="86"/>
  <c r="C10" i="86"/>
  <c r="B10" i="86"/>
  <c r="F9" i="86"/>
  <c r="E9" i="86"/>
  <c r="D9" i="86"/>
  <c r="C9" i="86"/>
  <c r="B9" i="86"/>
  <c r="C20" i="83"/>
  <c r="B20" i="83"/>
  <c r="C19" i="83"/>
  <c r="B19" i="83"/>
  <c r="C18" i="83"/>
  <c r="B18" i="83"/>
  <c r="C17" i="83"/>
  <c r="B17" i="83"/>
  <c r="C16" i="83"/>
  <c r="B16" i="83"/>
  <c r="C15" i="83"/>
  <c r="B15" i="83"/>
  <c r="C14" i="83"/>
  <c r="B14" i="83"/>
  <c r="C13" i="83"/>
  <c r="B13" i="83"/>
  <c r="C12" i="83"/>
  <c r="B12" i="83"/>
  <c r="C11" i="83"/>
  <c r="B11" i="83"/>
  <c r="C10" i="83"/>
  <c r="B10" i="83"/>
  <c r="C9" i="83"/>
  <c r="B9" i="83"/>
  <c r="E14" i="85" l="1"/>
  <c r="E10" i="85"/>
  <c r="E18" i="85"/>
  <c r="D13" i="83"/>
  <c r="D12" i="83"/>
  <c r="D14" i="83"/>
  <c r="D16" i="83"/>
  <c r="D20" i="83"/>
  <c r="G9" i="86"/>
  <c r="F22" i="86"/>
  <c r="G13" i="86"/>
  <c r="G17" i="86"/>
  <c r="E9" i="85"/>
  <c r="E13" i="85"/>
  <c r="E17" i="85"/>
  <c r="C22" i="83"/>
  <c r="D11" i="83"/>
  <c r="D19" i="83"/>
  <c r="C22" i="86"/>
  <c r="B22" i="87"/>
  <c r="C22" i="85"/>
  <c r="E12" i="85"/>
  <c r="E16" i="85"/>
  <c r="E20" i="85"/>
  <c r="D22" i="85"/>
  <c r="E11" i="85"/>
  <c r="E15" i="85"/>
  <c r="E19" i="85"/>
  <c r="D9" i="83"/>
  <c r="D18" i="83"/>
  <c r="B22" i="83"/>
  <c r="D10" i="83"/>
  <c r="D15" i="83"/>
  <c r="D17" i="83"/>
  <c r="G10" i="86"/>
  <c r="G14" i="86"/>
  <c r="G18" i="86"/>
  <c r="D22" i="86"/>
  <c r="G11" i="86"/>
  <c r="G15" i="86"/>
  <c r="G19" i="86"/>
  <c r="E22" i="86"/>
  <c r="G12" i="86"/>
  <c r="G16" i="86"/>
  <c r="G20" i="86"/>
  <c r="B22" i="85"/>
  <c r="B22" i="86"/>
  <c r="D22" i="83" l="1"/>
  <c r="E22" i="85"/>
  <c r="G22" i="86"/>
  <c r="Q14" i="95"/>
  <c r="I24" i="95" s="1"/>
  <c r="P14" i="95"/>
  <c r="O14" i="95"/>
  <c r="N14" i="95"/>
  <c r="M14" i="95"/>
  <c r="I23" i="95" s="1"/>
  <c r="L14" i="95"/>
  <c r="K14" i="95"/>
  <c r="J14" i="95"/>
  <c r="I14" i="95"/>
  <c r="I22" i="95" s="1"/>
  <c r="H14" i="95"/>
  <c r="G14" i="95"/>
  <c r="F14" i="95"/>
  <c r="E14" i="95"/>
  <c r="I21" i="95" s="1"/>
  <c r="D14" i="95"/>
  <c r="C14" i="95"/>
  <c r="B14" i="95"/>
  <c r="I25" i="95" l="1"/>
  <c r="B9" i="75" s="1"/>
  <c r="P16" i="94" l="1"/>
  <c r="O16" i="94"/>
  <c r="Q14" i="94"/>
  <c r="R14" i="94" s="1"/>
  <c r="Q13" i="94"/>
  <c r="S13" i="94" s="1"/>
  <c r="Q12" i="94"/>
  <c r="R12" i="94" s="1"/>
  <c r="R13" i="94" l="1"/>
  <c r="R16" i="94" s="1"/>
  <c r="G13" i="94" s="1"/>
  <c r="S12" i="94"/>
  <c r="S14" i="94"/>
  <c r="S16" i="94" l="1"/>
  <c r="G14" i="94" s="1"/>
  <c r="G12" i="94" s="1"/>
  <c r="M102" i="90"/>
  <c r="O102" i="90"/>
  <c r="M56" i="90"/>
  <c r="O56" i="90"/>
  <c r="U56" i="90"/>
  <c r="W56" i="90"/>
  <c r="M41" i="90"/>
  <c r="O41" i="90"/>
  <c r="U41" i="90"/>
  <c r="W41" i="90"/>
  <c r="S43" i="90"/>
  <c r="AE211" i="90"/>
  <c r="W210" i="90"/>
  <c r="C202" i="90"/>
  <c r="AF195" i="90"/>
  <c r="AD195" i="90"/>
  <c r="S195" i="90"/>
  <c r="AF194" i="90"/>
  <c r="AE194" i="90"/>
  <c r="AD194" i="90"/>
  <c r="AF193" i="90"/>
  <c r="AD193" i="90"/>
  <c r="O193" i="90"/>
  <c r="M193" i="90"/>
  <c r="C185" i="90"/>
  <c r="S178" i="90"/>
  <c r="O176" i="90"/>
  <c r="M176" i="90"/>
  <c r="C169" i="90"/>
  <c r="S162" i="90"/>
  <c r="AE161" i="90"/>
  <c r="U160" i="90"/>
  <c r="O160" i="90"/>
  <c r="M160" i="90"/>
  <c r="C153" i="90"/>
  <c r="U144" i="90"/>
  <c r="C137" i="90"/>
  <c r="W128" i="90"/>
  <c r="U128" i="90"/>
  <c r="C111" i="90"/>
  <c r="S104" i="90"/>
  <c r="C94" i="90"/>
  <c r="O85" i="90"/>
  <c r="M85" i="90"/>
  <c r="C80" i="90"/>
  <c r="S73" i="90"/>
  <c r="C65" i="90"/>
  <c r="S58" i="90"/>
  <c r="AE57" i="90"/>
  <c r="C50" i="90"/>
  <c r="C34" i="90"/>
  <c r="S27" i="90"/>
  <c r="U25" i="90"/>
  <c r="O25" i="90"/>
  <c r="M25" i="90"/>
  <c r="AO12" i="90"/>
  <c r="AG12" i="90" s="1"/>
  <c r="AE12" i="90"/>
  <c r="Y12" i="90"/>
  <c r="W12" i="90"/>
  <c r="W43" i="90" s="1"/>
  <c r="U12" i="90"/>
  <c r="U43" i="90" s="1"/>
  <c r="Q12" i="90"/>
  <c r="Q43" i="90" s="1"/>
  <c r="O12" i="90"/>
  <c r="O43" i="90" s="1"/>
  <c r="M12" i="90"/>
  <c r="M43" i="90" s="1"/>
  <c r="K12" i="90"/>
  <c r="K43" i="90" s="1"/>
  <c r="I12" i="90"/>
  <c r="I27" i="90" s="1"/>
  <c r="AG11" i="90"/>
  <c r="AG10" i="90"/>
  <c r="AE10" i="90"/>
  <c r="AC10" i="90"/>
  <c r="AA10" i="90"/>
  <c r="Y10" i="90"/>
  <c r="S10" i="90"/>
  <c r="S102" i="90" s="1"/>
  <c r="Q10" i="90"/>
  <c r="Q25" i="90" s="1"/>
  <c r="K10" i="90"/>
  <c r="K102" i="90" s="1"/>
  <c r="I10" i="90"/>
  <c r="I71" i="90" s="1"/>
  <c r="Q27" i="90" l="1"/>
  <c r="I41" i="90"/>
  <c r="I102" i="90"/>
  <c r="Q41" i="90"/>
  <c r="Q102" i="90"/>
  <c r="S56" i="90"/>
  <c r="K56" i="90"/>
  <c r="I43" i="90"/>
  <c r="Q56" i="90"/>
  <c r="I56" i="90"/>
  <c r="I25" i="90"/>
  <c r="S41" i="90"/>
  <c r="K41" i="90"/>
  <c r="G12" i="90"/>
  <c r="W212" i="90"/>
  <c r="G10" i="90"/>
  <c r="S193" i="90"/>
  <c r="S160" i="90"/>
  <c r="S25" i="90"/>
  <c r="S71" i="90"/>
  <c r="AE210" i="90"/>
  <c r="AE160" i="90"/>
  <c r="AE56" i="90"/>
  <c r="AE193" i="90"/>
  <c r="O162" i="90"/>
  <c r="O178" i="90"/>
  <c r="O104" i="90"/>
  <c r="O87" i="90"/>
  <c r="O195" i="90"/>
  <c r="O27" i="90"/>
  <c r="I144" i="90"/>
  <c r="G144" i="90" s="1"/>
  <c r="I128" i="90"/>
  <c r="G128" i="90" s="1"/>
  <c r="I193" i="90"/>
  <c r="I160" i="90"/>
  <c r="I162" i="90"/>
  <c r="I130" i="90"/>
  <c r="I104" i="90"/>
  <c r="I195" i="90"/>
  <c r="I146" i="90"/>
  <c r="I58" i="90"/>
  <c r="Q162" i="90"/>
  <c r="Q104" i="90"/>
  <c r="Q195" i="90"/>
  <c r="Q58" i="90"/>
  <c r="AE212" i="90"/>
  <c r="AE162" i="90"/>
  <c r="AE58" i="90"/>
  <c r="AE195" i="90"/>
  <c r="W58" i="90"/>
  <c r="K193" i="90"/>
  <c r="K160" i="90"/>
  <c r="K176" i="90"/>
  <c r="K71" i="90"/>
  <c r="K25" i="90"/>
  <c r="K178" i="90"/>
  <c r="K104" i="90"/>
  <c r="K195" i="90"/>
  <c r="K162" i="90"/>
  <c r="K73" i="90"/>
  <c r="K27" i="90"/>
  <c r="K58" i="90"/>
  <c r="U130" i="90"/>
  <c r="U146" i="90"/>
  <c r="U162" i="90"/>
  <c r="U58" i="90"/>
  <c r="U27" i="90"/>
  <c r="I73" i="90"/>
  <c r="G73" i="90" s="1"/>
  <c r="W130" i="90"/>
  <c r="M195" i="90"/>
  <c r="M162" i="90"/>
  <c r="M87" i="90"/>
  <c r="M58" i="90"/>
  <c r="M178" i="90"/>
  <c r="M104" i="90"/>
  <c r="M27" i="90"/>
  <c r="O58" i="90"/>
  <c r="Q193" i="90"/>
  <c r="Q160" i="90"/>
  <c r="S176" i="90"/>
  <c r="G85" i="90"/>
  <c r="G210" i="90"/>
  <c r="G176" i="90" l="1"/>
  <c r="Q181" i="90" s="1"/>
  <c r="G41" i="90"/>
  <c r="G27" i="90"/>
  <c r="G195" i="90"/>
  <c r="G104" i="90"/>
  <c r="G43" i="90"/>
  <c r="G56" i="90"/>
  <c r="G58" i="90"/>
  <c r="G130" i="90"/>
  <c r="G160" i="90"/>
  <c r="G71" i="90"/>
  <c r="G102" i="90"/>
  <c r="G87" i="90"/>
  <c r="G178" i="90"/>
  <c r="Q183" i="90" s="1"/>
  <c r="G146" i="90"/>
  <c r="G162" i="90"/>
  <c r="G193" i="90"/>
  <c r="G25" i="90"/>
  <c r="G212" i="90"/>
  <c r="I181" i="90" l="1"/>
  <c r="I183" i="90"/>
  <c r="R11" i="9" l="1"/>
  <c r="Q12" i="9" s="1"/>
  <c r="G14" i="9" s="1"/>
  <c r="Q13" i="4"/>
  <c r="Q14" i="4"/>
  <c r="P16" i="4"/>
  <c r="O16" i="4"/>
  <c r="O94" i="74"/>
  <c r="M94" i="74"/>
  <c r="S14" i="4" l="1"/>
  <c r="R14" i="4"/>
  <c r="R13" i="4"/>
  <c r="S13" i="4"/>
  <c r="P12" i="9"/>
  <c r="G13" i="9" s="1"/>
  <c r="G12" i="9" s="1"/>
  <c r="G33" i="14"/>
  <c r="G19" i="12"/>
  <c r="E33" i="14"/>
  <c r="S16" i="4" l="1"/>
  <c r="G14" i="4" s="1"/>
  <c r="R16" i="4"/>
  <c r="G13" i="4" s="1"/>
  <c r="G12" i="4" l="1"/>
  <c r="C19" i="12"/>
  <c r="C21" i="12" s="1"/>
  <c r="C23" i="12" s="1"/>
  <c r="B8" i="75" l="1"/>
  <c r="B7" i="75"/>
  <c r="B6" i="75" l="1"/>
  <c r="C4" i="75"/>
  <c r="B4" i="75"/>
  <c r="M11" i="74" s="1"/>
  <c r="M235" i="74" s="1"/>
  <c r="C11" i="75" l="1"/>
  <c r="O11" i="74"/>
  <c r="O235" i="74" s="1"/>
  <c r="M11" i="90"/>
  <c r="O11" i="90"/>
  <c r="B5" i="75"/>
  <c r="B3" i="75"/>
  <c r="B2" i="75"/>
  <c r="B11" i="75" l="1"/>
  <c r="O57" i="90"/>
  <c r="O42" i="90"/>
  <c r="O86" i="90"/>
  <c r="O161" i="90"/>
  <c r="O177" i="90"/>
  <c r="O194" i="90"/>
  <c r="O26" i="90"/>
  <c r="O103" i="90"/>
  <c r="M57" i="90"/>
  <c r="M42" i="90"/>
  <c r="M103" i="90"/>
  <c r="M86" i="90"/>
  <c r="M177" i="90"/>
  <c r="M161" i="90"/>
  <c r="M194" i="90"/>
  <c r="M26" i="90"/>
  <c r="G86" i="90" l="1"/>
  <c r="G16" i="19"/>
  <c r="G11" i="13" l="1"/>
  <c r="G14" i="13" s="1"/>
  <c r="H11" i="19"/>
  <c r="G18" i="13" l="1"/>
  <c r="H12" i="13"/>
  <c r="L12" i="13" s="1"/>
  <c r="H11" i="13"/>
  <c r="L11" i="13" s="1"/>
  <c r="H12" i="12"/>
  <c r="L12" i="12" s="1"/>
  <c r="W221" i="74"/>
  <c r="AE221" i="74"/>
  <c r="G221" i="74" l="1"/>
  <c r="AE226" i="74" s="1"/>
  <c r="AE217" i="90" s="1"/>
  <c r="H11" i="12"/>
  <c r="L11" i="12" s="1"/>
  <c r="H10" i="12"/>
  <c r="L10" i="12" s="1"/>
  <c r="W226" i="74" l="1"/>
  <c r="AE219" i="74"/>
  <c r="G226" i="74" l="1"/>
  <c r="W217" i="90"/>
  <c r="G217" i="90" s="1"/>
  <c r="W219" i="74"/>
  <c r="G219" i="74" l="1"/>
  <c r="AE224" i="74" s="1"/>
  <c r="AE215" i="90" s="1"/>
  <c r="D10" i="75"/>
  <c r="D9" i="75"/>
  <c r="W224" i="74" l="1"/>
  <c r="W215" i="90" s="1"/>
  <c r="G215" i="90" s="1"/>
  <c r="D6" i="75"/>
  <c r="D8" i="75"/>
  <c r="W11" i="90" s="1"/>
  <c r="D7" i="75"/>
  <c r="U11" i="90" s="1"/>
  <c r="W42" i="90" l="1"/>
  <c r="W211" i="90"/>
  <c r="G211" i="90" s="1"/>
  <c r="W129" i="90"/>
  <c r="W57" i="90"/>
  <c r="U57" i="90"/>
  <c r="U42" i="90"/>
  <c r="U26" i="90"/>
  <c r="U145" i="90"/>
  <c r="U129" i="90"/>
  <c r="U161" i="90"/>
  <c r="S11" i="90"/>
  <c r="G224" i="74"/>
  <c r="D2" i="75"/>
  <c r="AD202" i="74"/>
  <c r="AF202" i="74"/>
  <c r="AD203" i="74"/>
  <c r="AF203" i="74"/>
  <c r="S204" i="74"/>
  <c r="AD204" i="74"/>
  <c r="AF204" i="74"/>
  <c r="C211" i="74"/>
  <c r="I11" i="74" l="1"/>
  <c r="I235" i="74" s="1"/>
  <c r="S57" i="90"/>
  <c r="S42" i="90"/>
  <c r="S26" i="90"/>
  <c r="S161" i="90"/>
  <c r="S194" i="90"/>
  <c r="S177" i="90"/>
  <c r="S72" i="90"/>
  <c r="S103" i="90"/>
  <c r="I11" i="90"/>
  <c r="D4" i="75"/>
  <c r="D5" i="75"/>
  <c r="D3" i="75"/>
  <c r="K11" i="74" s="1"/>
  <c r="K235" i="74" s="1"/>
  <c r="O204" i="74"/>
  <c r="M204" i="74"/>
  <c r="D11" i="75" l="1"/>
  <c r="K11" i="90"/>
  <c r="I42" i="90"/>
  <c r="I57" i="90"/>
  <c r="I72" i="90"/>
  <c r="I194" i="90"/>
  <c r="I129" i="90"/>
  <c r="G129" i="90" s="1"/>
  <c r="I103" i="90"/>
  <c r="I26" i="90"/>
  <c r="I161" i="90"/>
  <c r="I145" i="90"/>
  <c r="G145" i="90" s="1"/>
  <c r="Q11" i="90"/>
  <c r="K57" i="90" l="1"/>
  <c r="K42" i="90"/>
  <c r="K177" i="90"/>
  <c r="G177" i="90" s="1"/>
  <c r="K194" i="90"/>
  <c r="K103" i="90"/>
  <c r="K72" i="90"/>
  <c r="G72" i="90" s="1"/>
  <c r="K161" i="90"/>
  <c r="K26" i="90"/>
  <c r="Q26" i="90"/>
  <c r="Q57" i="90"/>
  <c r="Q42" i="90"/>
  <c r="Q194" i="90"/>
  <c r="Q103" i="90"/>
  <c r="Q161" i="90"/>
  <c r="G11" i="90"/>
  <c r="D12" i="14"/>
  <c r="D13" i="14"/>
  <c r="D14" i="14"/>
  <c r="D15" i="14"/>
  <c r="D16" i="14"/>
  <c r="D17" i="14"/>
  <c r="D18" i="14"/>
  <c r="D19" i="14"/>
  <c r="D20" i="14"/>
  <c r="D21" i="14"/>
  <c r="D22" i="14"/>
  <c r="D23" i="14"/>
  <c r="D24" i="14"/>
  <c r="D25" i="14"/>
  <c r="D26" i="14"/>
  <c r="D27" i="14"/>
  <c r="D11" i="14"/>
  <c r="F13" i="14"/>
  <c r="G194" i="90" l="1"/>
  <c r="G161" i="90"/>
  <c r="G42" i="90"/>
  <c r="G26" i="90"/>
  <c r="G103" i="90"/>
  <c r="G57" i="90"/>
  <c r="Q182" i="90"/>
  <c r="Q185" i="90" s="1"/>
  <c r="I182" i="90"/>
  <c r="AE203" i="74"/>
  <c r="AE220" i="74"/>
  <c r="M31" i="74"/>
  <c r="F11" i="14"/>
  <c r="F26" i="14"/>
  <c r="F24" i="14"/>
  <c r="F22" i="14"/>
  <c r="F20" i="14"/>
  <c r="F18" i="14"/>
  <c r="F16" i="14"/>
  <c r="F14" i="14"/>
  <c r="F12" i="14"/>
  <c r="E35" i="14"/>
  <c r="F27" i="14"/>
  <c r="F25" i="14"/>
  <c r="F23" i="14"/>
  <c r="F21" i="14"/>
  <c r="F19" i="14"/>
  <c r="F17" i="14"/>
  <c r="F15" i="14"/>
  <c r="I185" i="90" l="1"/>
  <c r="O203" i="74"/>
  <c r="M203" i="74"/>
  <c r="F29" i="14"/>
  <c r="K203" i="74"/>
  <c r="E16" i="19"/>
  <c r="E11" i="13" s="1"/>
  <c r="C11" i="13"/>
  <c r="C14" i="13" s="1"/>
  <c r="C18" i="13" s="1"/>
  <c r="E14" i="13" l="1"/>
  <c r="F12" i="13" s="1"/>
  <c r="H11" i="14"/>
  <c r="E21" i="12"/>
  <c r="E23" i="12" s="1"/>
  <c r="D10" i="12"/>
  <c r="J10" i="12" s="1"/>
  <c r="M10" i="12" s="1"/>
  <c r="E18" i="13" l="1"/>
  <c r="E20" i="13" s="1"/>
  <c r="F11" i="13"/>
  <c r="I203" i="74"/>
  <c r="J11" i="14"/>
  <c r="L11" i="14"/>
  <c r="Q11" i="74"/>
  <c r="H15" i="12"/>
  <c r="S202" i="74"/>
  <c r="Q204" i="74"/>
  <c r="Q203" i="74" l="1"/>
  <c r="Q235" i="74"/>
  <c r="M11" i="14"/>
  <c r="G17" i="94"/>
  <c r="I204" i="74"/>
  <c r="AE204" i="74" l="1"/>
  <c r="K204" i="74"/>
  <c r="Q202" i="74"/>
  <c r="AE202" i="74"/>
  <c r="K202" i="74"/>
  <c r="I202" i="74"/>
  <c r="O202" i="74"/>
  <c r="M202" i="74"/>
  <c r="G202" i="74" l="1"/>
  <c r="S207" i="74" s="1"/>
  <c r="S198" i="90" s="1"/>
  <c r="M17" i="74"/>
  <c r="M17" i="90" s="1"/>
  <c r="I49" i="74"/>
  <c r="K49" i="74"/>
  <c r="M49" i="74"/>
  <c r="O49" i="74"/>
  <c r="Q49" i="74"/>
  <c r="I31" i="74"/>
  <c r="K31" i="74"/>
  <c r="O31" i="74"/>
  <c r="Q31" i="74"/>
  <c r="AE170" i="74"/>
  <c r="C194" i="74"/>
  <c r="S187" i="74"/>
  <c r="K187" i="74"/>
  <c r="O186" i="74"/>
  <c r="M186" i="74"/>
  <c r="K186" i="74"/>
  <c r="O185" i="74"/>
  <c r="M185" i="74"/>
  <c r="C178" i="74"/>
  <c r="AE171" i="74"/>
  <c r="U171" i="74"/>
  <c r="S171" i="74"/>
  <c r="Q171" i="74"/>
  <c r="K171" i="74"/>
  <c r="I171" i="74"/>
  <c r="Q170" i="74"/>
  <c r="O170" i="74"/>
  <c r="M170" i="74"/>
  <c r="K170" i="74"/>
  <c r="I170" i="74"/>
  <c r="U169" i="74"/>
  <c r="O169" i="74"/>
  <c r="M169" i="74"/>
  <c r="C162" i="74"/>
  <c r="U155" i="74"/>
  <c r="I155" i="74"/>
  <c r="I154" i="74"/>
  <c r="U153" i="74"/>
  <c r="C146" i="74"/>
  <c r="U139" i="74"/>
  <c r="I139" i="74"/>
  <c r="I138" i="74"/>
  <c r="W137" i="74"/>
  <c r="U137" i="74"/>
  <c r="C120" i="74"/>
  <c r="S113" i="74"/>
  <c r="Q113" i="74"/>
  <c r="K113" i="74"/>
  <c r="I113" i="74"/>
  <c r="Q112" i="74"/>
  <c r="O112" i="74"/>
  <c r="M112" i="74"/>
  <c r="K112" i="74"/>
  <c r="I112" i="74"/>
  <c r="O111" i="74"/>
  <c r="M111" i="74"/>
  <c r="C103" i="74"/>
  <c r="O95" i="74"/>
  <c r="M95" i="74"/>
  <c r="C89" i="74"/>
  <c r="S82" i="74"/>
  <c r="K82" i="74"/>
  <c r="I82" i="74"/>
  <c r="K81" i="74"/>
  <c r="I81" i="74"/>
  <c r="C74" i="74"/>
  <c r="AE67" i="74"/>
  <c r="U67" i="74"/>
  <c r="S67" i="74"/>
  <c r="Q67" i="74"/>
  <c r="K67" i="74"/>
  <c r="I67" i="74"/>
  <c r="Q66" i="74"/>
  <c r="O66" i="74"/>
  <c r="M66" i="74"/>
  <c r="K66" i="74"/>
  <c r="I66" i="74"/>
  <c r="W65" i="74"/>
  <c r="U65" i="74"/>
  <c r="O65" i="74"/>
  <c r="M65" i="74"/>
  <c r="C57" i="74"/>
  <c r="U50" i="74"/>
  <c r="S50" i="74"/>
  <c r="Q50" i="74"/>
  <c r="K50" i="74"/>
  <c r="I50" i="74"/>
  <c r="W48" i="74"/>
  <c r="U48" i="74"/>
  <c r="O48" i="74"/>
  <c r="M48" i="74"/>
  <c r="C39" i="74"/>
  <c r="U32" i="74"/>
  <c r="S32" i="74"/>
  <c r="Q32" i="74"/>
  <c r="K32" i="74"/>
  <c r="I32" i="74"/>
  <c r="U30" i="74"/>
  <c r="O30" i="74"/>
  <c r="O50" i="74"/>
  <c r="AE169" i="74"/>
  <c r="S65" i="74"/>
  <c r="K80" i="74"/>
  <c r="I169" i="74"/>
  <c r="I153" i="74"/>
  <c r="I137" i="74"/>
  <c r="I111" i="74"/>
  <c r="I80" i="74"/>
  <c r="Q169" i="74"/>
  <c r="Q111" i="74"/>
  <c r="M171" i="74"/>
  <c r="M187" i="74"/>
  <c r="M113" i="74"/>
  <c r="M96" i="74"/>
  <c r="W139" i="74"/>
  <c r="W67" i="74"/>
  <c r="I30" i="74"/>
  <c r="Q30" i="74"/>
  <c r="K48" i="74"/>
  <c r="S48" i="74"/>
  <c r="W50" i="74"/>
  <c r="K65" i="74"/>
  <c r="K185" i="74"/>
  <c r="K169" i="74"/>
  <c r="K111" i="74"/>
  <c r="S185" i="74"/>
  <c r="S169" i="74"/>
  <c r="S111" i="74"/>
  <c r="S80" i="74"/>
  <c r="O187" i="74"/>
  <c r="O171" i="74"/>
  <c r="O113" i="74"/>
  <c r="O96" i="74"/>
  <c r="O67" i="74"/>
  <c r="K30" i="74"/>
  <c r="S30" i="74"/>
  <c r="O32" i="74"/>
  <c r="I48" i="74"/>
  <c r="Q48" i="74"/>
  <c r="M50" i="74"/>
  <c r="I65" i="74"/>
  <c r="Q65" i="74"/>
  <c r="AE65" i="74"/>
  <c r="AE66" i="74"/>
  <c r="M67" i="74"/>
  <c r="H16" i="14"/>
  <c r="F11" i="19"/>
  <c r="D12" i="19"/>
  <c r="H12" i="19"/>
  <c r="F14" i="19"/>
  <c r="D11" i="12"/>
  <c r="J11" i="12" s="1"/>
  <c r="M11" i="12" s="1"/>
  <c r="D14" i="19"/>
  <c r="D11" i="19"/>
  <c r="W11" i="74"/>
  <c r="W220" i="74" s="1"/>
  <c r="K11" i="19" l="1"/>
  <c r="AA15" i="74"/>
  <c r="AA15" i="90" s="1"/>
  <c r="M15" i="74"/>
  <c r="M15" i="90" s="1"/>
  <c r="G153" i="74"/>
  <c r="U158" i="74" s="1"/>
  <c r="U149" i="90" s="1"/>
  <c r="G220" i="74"/>
  <c r="AE225" i="74" s="1"/>
  <c r="W17" i="74"/>
  <c r="W17" i="90" s="1"/>
  <c r="K15" i="74"/>
  <c r="K15" i="90" s="1"/>
  <c r="AE207" i="74"/>
  <c r="AE198" i="90" s="1"/>
  <c r="O207" i="74"/>
  <c r="O198" i="90" s="1"/>
  <c r="G22" i="9"/>
  <c r="L16" i="14"/>
  <c r="AG15" i="74"/>
  <c r="M207" i="74"/>
  <c r="M198" i="90" s="1"/>
  <c r="K207" i="74"/>
  <c r="K198" i="90" s="1"/>
  <c r="Q207" i="74"/>
  <c r="Q198" i="90" s="1"/>
  <c r="AE15" i="74"/>
  <c r="AE15" i="90" s="1"/>
  <c r="G80" i="74"/>
  <c r="S85" i="74" s="1"/>
  <c r="S76" i="90" s="1"/>
  <c r="G137" i="74"/>
  <c r="U142" i="74" s="1"/>
  <c r="U133" i="90" s="1"/>
  <c r="G94" i="74"/>
  <c r="G65" i="74"/>
  <c r="S70" i="74" s="1"/>
  <c r="S61" i="90" s="1"/>
  <c r="G96" i="74"/>
  <c r="O101" i="74" s="1"/>
  <c r="O92" i="90" s="1"/>
  <c r="G169" i="74"/>
  <c r="AE174" i="74" s="1"/>
  <c r="AE165" i="90" s="1"/>
  <c r="G139" i="74"/>
  <c r="U144" i="74" s="1"/>
  <c r="U135" i="90" s="1"/>
  <c r="G171" i="74"/>
  <c r="U176" i="74" s="1"/>
  <c r="U167" i="90" s="1"/>
  <c r="G187" i="74"/>
  <c r="O192" i="74" s="1"/>
  <c r="O183" i="90" s="1"/>
  <c r="G48" i="74"/>
  <c r="W53" i="74" s="1"/>
  <c r="W46" i="90" s="1"/>
  <c r="G185" i="74"/>
  <c r="S190" i="74" s="1"/>
  <c r="S181" i="90" s="1"/>
  <c r="G30" i="74"/>
  <c r="U35" i="74" s="1"/>
  <c r="U30" i="90" s="1"/>
  <c r="G111" i="74"/>
  <c r="O116" i="74" s="1"/>
  <c r="O107" i="90" s="1"/>
  <c r="G155" i="74"/>
  <c r="M160" i="74" s="1"/>
  <c r="G95" i="74"/>
  <c r="O100" i="74" s="1"/>
  <c r="O91" i="90" s="1"/>
  <c r="H27" i="14"/>
  <c r="H19" i="14"/>
  <c r="J19" i="14" s="1"/>
  <c r="H14" i="14"/>
  <c r="L14" i="14" s="1"/>
  <c r="H23" i="14"/>
  <c r="H17" i="14"/>
  <c r="H21" i="14"/>
  <c r="H25" i="14"/>
  <c r="H26" i="14"/>
  <c r="J26" i="14" s="1"/>
  <c r="C33" i="14"/>
  <c r="C35" i="14" s="1"/>
  <c r="H13" i="19"/>
  <c r="H18" i="14"/>
  <c r="D13" i="19"/>
  <c r="D12" i="12"/>
  <c r="H13" i="14"/>
  <c r="H22" i="14"/>
  <c r="AK17" i="74"/>
  <c r="AK17" i="90" s="1"/>
  <c r="Q17" i="74"/>
  <c r="Q17" i="90" s="1"/>
  <c r="AA17" i="74"/>
  <c r="AA17" i="90" s="1"/>
  <c r="G67" i="74"/>
  <c r="W101" i="74" s="1"/>
  <c r="W92" i="90" s="1"/>
  <c r="AG17" i="74"/>
  <c r="AG17" i="90" s="1"/>
  <c r="Y17" i="74"/>
  <c r="Y17" i="90" s="1"/>
  <c r="BB17" i="74"/>
  <c r="BB17" i="90" s="1"/>
  <c r="AQ17" i="74"/>
  <c r="AQ17" i="90" s="1"/>
  <c r="AO17" i="74"/>
  <c r="AO17" i="90" s="1"/>
  <c r="U17" i="90"/>
  <c r="AC17" i="90"/>
  <c r="AS17" i="74"/>
  <c r="AS17" i="90" s="1"/>
  <c r="K17" i="74"/>
  <c r="K17" i="90" s="1"/>
  <c r="AI17" i="74"/>
  <c r="AI17" i="90" s="1"/>
  <c r="AY17" i="74"/>
  <c r="AY17" i="90" s="1"/>
  <c r="AW17" i="74"/>
  <c r="AW17" i="90" s="1"/>
  <c r="BF17" i="74"/>
  <c r="BF17" i="90" s="1"/>
  <c r="S17" i="74"/>
  <c r="S17" i="90" s="1"/>
  <c r="AE17" i="74"/>
  <c r="AE17" i="90" s="1"/>
  <c r="AM17" i="90"/>
  <c r="AU17" i="74"/>
  <c r="AU17" i="90" s="1"/>
  <c r="BD17" i="74"/>
  <c r="BD17" i="90" s="1"/>
  <c r="Y15" i="74"/>
  <c r="Y15" i="90" s="1"/>
  <c r="AO15" i="74"/>
  <c r="AO15" i="90" s="1"/>
  <c r="Q15" i="74"/>
  <c r="Q15" i="90" s="1"/>
  <c r="AS15" i="74"/>
  <c r="AS15" i="90" s="1"/>
  <c r="AC15" i="90"/>
  <c r="U15" i="90"/>
  <c r="BB15" i="74"/>
  <c r="BB15" i="90" s="1"/>
  <c r="AK15" i="74"/>
  <c r="AK15" i="90" s="1"/>
  <c r="AW15" i="74"/>
  <c r="AW15" i="90" s="1"/>
  <c r="O15" i="74"/>
  <c r="O15" i="90" s="1"/>
  <c r="BF15" i="74"/>
  <c r="BF15" i="90" s="1"/>
  <c r="W15" i="74"/>
  <c r="W15" i="90" s="1"/>
  <c r="AM15" i="90"/>
  <c r="AU15" i="74"/>
  <c r="AU15" i="90" s="1"/>
  <c r="AI15" i="74"/>
  <c r="AI15" i="90" s="1"/>
  <c r="AQ15" i="74"/>
  <c r="AQ15" i="90" s="1"/>
  <c r="BD15" i="74"/>
  <c r="BD15" i="90" s="1"/>
  <c r="AY15" i="74"/>
  <c r="AY15" i="90" s="1"/>
  <c r="K158" i="74"/>
  <c r="G50" i="74"/>
  <c r="U55" i="74" s="1"/>
  <c r="U48" i="90" s="1"/>
  <c r="S15" i="74"/>
  <c r="S15" i="90" s="1"/>
  <c r="K174" i="74"/>
  <c r="K165" i="90" s="1"/>
  <c r="G37" i="9"/>
  <c r="G36" i="9"/>
  <c r="G38" i="94"/>
  <c r="G32" i="74"/>
  <c r="O17" i="74"/>
  <c r="O17" i="90" s="1"/>
  <c r="G82" i="74"/>
  <c r="K101" i="74" s="1"/>
  <c r="K92" i="90" s="1"/>
  <c r="J16" i="14"/>
  <c r="H15" i="14"/>
  <c r="L15" i="14" s="1"/>
  <c r="H20" i="14"/>
  <c r="H24" i="14"/>
  <c r="L24" i="14" s="1"/>
  <c r="H12" i="14"/>
  <c r="L12" i="14" s="1"/>
  <c r="H14" i="19"/>
  <c r="K14" i="19" s="1"/>
  <c r="G113" i="74"/>
  <c r="K118" i="74" s="1"/>
  <c r="K109" i="90" s="1"/>
  <c r="F12" i="19"/>
  <c r="K12" i="19" s="1"/>
  <c r="F13" i="19"/>
  <c r="D16" i="19" l="1"/>
  <c r="K13" i="19"/>
  <c r="K16" i="19" s="1"/>
  <c r="Q12" i="19"/>
  <c r="G25" i="94"/>
  <c r="M19" i="14"/>
  <c r="G32" i="94"/>
  <c r="M26" i="14"/>
  <c r="G22" i="94"/>
  <c r="M16" i="14"/>
  <c r="AG15" i="90"/>
  <c r="O11" i="19"/>
  <c r="Q11" i="19"/>
  <c r="D15" i="12"/>
  <c r="J12" i="12"/>
  <c r="AE228" i="74"/>
  <c r="AE219" i="90" s="1"/>
  <c r="AE216" i="90"/>
  <c r="O12" i="19"/>
  <c r="O158" i="74"/>
  <c r="D11" i="13"/>
  <c r="C20" i="13"/>
  <c r="Q158" i="74"/>
  <c r="S158" i="74"/>
  <c r="M158" i="74"/>
  <c r="W225" i="74"/>
  <c r="K35" i="74"/>
  <c r="K30" i="90" s="1"/>
  <c r="Q176" i="74"/>
  <c r="Q167" i="90" s="1"/>
  <c r="S176" i="74"/>
  <c r="S167" i="90" s="1"/>
  <c r="O176" i="74"/>
  <c r="O167" i="90" s="1"/>
  <c r="M176" i="74"/>
  <c r="M167" i="90" s="1"/>
  <c r="W72" i="74"/>
  <c r="W63" i="90" s="1"/>
  <c r="K53" i="74"/>
  <c r="K46" i="90" s="1"/>
  <c r="S53" i="74"/>
  <c r="S46" i="90" s="1"/>
  <c r="O53" i="74"/>
  <c r="O46" i="90" s="1"/>
  <c r="S174" i="74"/>
  <c r="S165" i="90" s="1"/>
  <c r="Q53" i="74"/>
  <c r="Q46" i="90" s="1"/>
  <c r="W142" i="74"/>
  <c r="U53" i="74"/>
  <c r="U46" i="90" s="1"/>
  <c r="U160" i="74"/>
  <c r="U151" i="90" s="1"/>
  <c r="M53" i="74"/>
  <c r="M46" i="90" s="1"/>
  <c r="G32" i="4"/>
  <c r="G28" i="9"/>
  <c r="L22" i="14"/>
  <c r="G25" i="4"/>
  <c r="G27" i="9"/>
  <c r="L21" i="14"/>
  <c r="G25" i="9"/>
  <c r="L19" i="14"/>
  <c r="G22" i="4"/>
  <c r="G19" i="9"/>
  <c r="L13" i="14"/>
  <c r="G23" i="9"/>
  <c r="L17" i="14"/>
  <c r="G33" i="9"/>
  <c r="L27" i="14"/>
  <c r="G24" i="9"/>
  <c r="L18" i="14"/>
  <c r="G32" i="9"/>
  <c r="L26" i="14"/>
  <c r="G29" i="9"/>
  <c r="L23" i="14"/>
  <c r="G26" i="9"/>
  <c r="L20" i="14"/>
  <c r="G31" i="9"/>
  <c r="L25" i="14"/>
  <c r="G20" i="9"/>
  <c r="M35" i="74"/>
  <c r="M30" i="90" s="1"/>
  <c r="S35" i="74"/>
  <c r="S30" i="90" s="1"/>
  <c r="AE176" i="74"/>
  <c r="AE167" i="90" s="1"/>
  <c r="I207" i="74"/>
  <c r="S192" i="74"/>
  <c r="S183" i="90" s="1"/>
  <c r="M118" i="74"/>
  <c r="M109" i="90" s="1"/>
  <c r="O35" i="74"/>
  <c r="O30" i="90" s="1"/>
  <c r="K176" i="74"/>
  <c r="K167" i="90" s="1"/>
  <c r="I17" i="74"/>
  <c r="M192" i="74"/>
  <c r="M183" i="90" s="1"/>
  <c r="J18" i="14"/>
  <c r="Q118" i="74"/>
  <c r="Q109" i="90" s="1"/>
  <c r="J22" i="14"/>
  <c r="H16" i="19"/>
  <c r="Q192" i="74"/>
  <c r="K116" i="74"/>
  <c r="K107" i="90" s="1"/>
  <c r="Q190" i="74"/>
  <c r="O72" i="74"/>
  <c r="O63" i="90" s="1"/>
  <c r="M72" i="74"/>
  <c r="M63" i="90" s="1"/>
  <c r="M100" i="74"/>
  <c r="M91" i="90" s="1"/>
  <c r="G18" i="9"/>
  <c r="J12" i="14"/>
  <c r="J21" i="14"/>
  <c r="J23" i="14"/>
  <c r="S87" i="74"/>
  <c r="S78" i="90" s="1"/>
  <c r="S72" i="74"/>
  <c r="S63" i="90" s="1"/>
  <c r="U101" i="74"/>
  <c r="U92" i="90" s="1"/>
  <c r="Q72" i="74"/>
  <c r="Q63" i="90" s="1"/>
  <c r="I192" i="74"/>
  <c r="M101" i="74"/>
  <c r="M92" i="90" s="1"/>
  <c r="W144" i="74"/>
  <c r="O99" i="74"/>
  <c r="M99" i="74"/>
  <c r="M90" i="90" s="1"/>
  <c r="S99" i="74"/>
  <c r="S90" i="90" s="1"/>
  <c r="K99" i="74"/>
  <c r="K90" i="90" s="1"/>
  <c r="K85" i="74"/>
  <c r="K76" i="90" s="1"/>
  <c r="J27" i="14"/>
  <c r="K87" i="74"/>
  <c r="K78" i="90" s="1"/>
  <c r="S101" i="74"/>
  <c r="S92" i="90" s="1"/>
  <c r="W55" i="74"/>
  <c r="W48" i="90" s="1"/>
  <c r="J14" i="14"/>
  <c r="S11" i="74"/>
  <c r="S235" i="74" s="1"/>
  <c r="J25" i="14"/>
  <c r="G42" i="9"/>
  <c r="G41" i="9"/>
  <c r="F14" i="13"/>
  <c r="G38" i="4"/>
  <c r="O118" i="74"/>
  <c r="O109" i="90" s="1"/>
  <c r="I190" i="74"/>
  <c r="J17" i="14"/>
  <c r="D12" i="13"/>
  <c r="F15" i="12"/>
  <c r="M190" i="74"/>
  <c r="M181" i="90" s="1"/>
  <c r="O190" i="74"/>
  <c r="O181" i="90" s="1"/>
  <c r="Q116" i="74"/>
  <c r="Q107" i="90" s="1"/>
  <c r="Q35" i="74"/>
  <c r="Q30" i="90" s="1"/>
  <c r="K72" i="74"/>
  <c r="K63" i="90" s="1"/>
  <c r="AE72" i="74"/>
  <c r="AE63" i="90" s="1"/>
  <c r="I101" i="74"/>
  <c r="I92" i="90" s="1"/>
  <c r="U72" i="74"/>
  <c r="U63" i="90" s="1"/>
  <c r="Q101" i="74"/>
  <c r="Q92" i="90" s="1"/>
  <c r="Q55" i="74"/>
  <c r="Q48" i="90" s="1"/>
  <c r="O174" i="74"/>
  <c r="O165" i="90" s="1"/>
  <c r="Q160" i="74"/>
  <c r="S118" i="74"/>
  <c r="S109" i="90" s="1"/>
  <c r="S160" i="74"/>
  <c r="M55" i="74"/>
  <c r="M48" i="90" s="1"/>
  <c r="K55" i="74"/>
  <c r="K48" i="90" s="1"/>
  <c r="M174" i="74"/>
  <c r="M165" i="90" s="1"/>
  <c r="M116" i="74"/>
  <c r="M107" i="90" s="1"/>
  <c r="O55" i="74"/>
  <c r="O48" i="90" s="1"/>
  <c r="S55" i="74"/>
  <c r="S48" i="90" s="1"/>
  <c r="U174" i="74"/>
  <c r="U165" i="90" s="1"/>
  <c r="S116" i="74"/>
  <c r="S107" i="90" s="1"/>
  <c r="Q174" i="74"/>
  <c r="Q165" i="90" s="1"/>
  <c r="I15" i="74"/>
  <c r="K160" i="74"/>
  <c r="O160" i="74"/>
  <c r="K70" i="74"/>
  <c r="K61" i="90" s="1"/>
  <c r="U99" i="74"/>
  <c r="U90" i="90" s="1"/>
  <c r="I99" i="74"/>
  <c r="I90" i="90" s="1"/>
  <c r="U70" i="74"/>
  <c r="U61" i="90" s="1"/>
  <c r="M70" i="74"/>
  <c r="M61" i="90" s="1"/>
  <c r="O70" i="74"/>
  <c r="O61" i="90" s="1"/>
  <c r="AE70" i="74"/>
  <c r="AE61" i="90" s="1"/>
  <c r="W99" i="74"/>
  <c r="W90" i="90" s="1"/>
  <c r="Q99" i="74"/>
  <c r="Q90" i="90" s="1"/>
  <c r="W70" i="74"/>
  <c r="W61" i="90" s="1"/>
  <c r="Q70" i="74"/>
  <c r="Q61" i="90" s="1"/>
  <c r="G38" i="9"/>
  <c r="K37" i="74"/>
  <c r="K32" i="90" s="1"/>
  <c r="M37" i="74"/>
  <c r="M32" i="90" s="1"/>
  <c r="U37" i="74"/>
  <c r="U32" i="90" s="1"/>
  <c r="S37" i="74"/>
  <c r="S32" i="90" s="1"/>
  <c r="Q37" i="74"/>
  <c r="Q32" i="90" s="1"/>
  <c r="O37" i="74"/>
  <c r="O32" i="90" s="1"/>
  <c r="D29" i="14"/>
  <c r="J13" i="14"/>
  <c r="G17" i="9"/>
  <c r="H29" i="14"/>
  <c r="J20" i="14"/>
  <c r="G30" i="9"/>
  <c r="J24" i="14"/>
  <c r="G21" i="9"/>
  <c r="J15" i="14"/>
  <c r="W49" i="74"/>
  <c r="W66" i="74"/>
  <c r="W138" i="74"/>
  <c r="U11" i="74"/>
  <c r="U235" i="74" s="1"/>
  <c r="F16" i="19"/>
  <c r="G235" i="74" l="1"/>
  <c r="Q13" i="19"/>
  <c r="G11" i="74"/>
  <c r="G21" i="94"/>
  <c r="M15" i="14"/>
  <c r="G26" i="94"/>
  <c r="M20" i="14"/>
  <c r="G33" i="94"/>
  <c r="M27" i="14"/>
  <c r="G28" i="94"/>
  <c r="M22" i="14"/>
  <c r="G30" i="94"/>
  <c r="M24" i="14"/>
  <c r="G31" i="94"/>
  <c r="M25" i="14"/>
  <c r="G29" i="94"/>
  <c r="M23" i="14"/>
  <c r="G19" i="94"/>
  <c r="M13" i="14"/>
  <c r="G23" i="94"/>
  <c r="M17" i="14"/>
  <c r="G27" i="94"/>
  <c r="M21" i="14"/>
  <c r="G24" i="94"/>
  <c r="M18" i="14"/>
  <c r="J15" i="12"/>
  <c r="M12" i="12"/>
  <c r="O14" i="19"/>
  <c r="Q14" i="19"/>
  <c r="M12" i="14"/>
  <c r="G18" i="94"/>
  <c r="G20" i="94"/>
  <c r="G40" i="4"/>
  <c r="G40" i="94"/>
  <c r="G39" i="4"/>
  <c r="G39" i="94"/>
  <c r="O103" i="74"/>
  <c r="O94" i="90" s="1"/>
  <c r="O90" i="90"/>
  <c r="G90" i="90" s="1"/>
  <c r="G207" i="74"/>
  <c r="I198" i="90"/>
  <c r="G198" i="90" s="1"/>
  <c r="I142" i="74"/>
  <c r="W133" i="90"/>
  <c r="G225" i="74"/>
  <c r="W216" i="90"/>
  <c r="G216" i="90" s="1"/>
  <c r="G15" i="74"/>
  <c r="I15" i="90"/>
  <c r="G15" i="90" s="1"/>
  <c r="I144" i="74"/>
  <c r="W135" i="90"/>
  <c r="G92" i="90"/>
  <c r="G17" i="74"/>
  <c r="I17" i="90"/>
  <c r="G17" i="90" s="1"/>
  <c r="O13" i="19"/>
  <c r="D14" i="13"/>
  <c r="S203" i="74"/>
  <c r="G203" i="74" s="1"/>
  <c r="I158" i="74"/>
  <c r="W228" i="74"/>
  <c r="I176" i="74"/>
  <c r="I53" i="74"/>
  <c r="K192" i="74"/>
  <c r="G21" i="4"/>
  <c r="G30" i="4"/>
  <c r="G29" i="4"/>
  <c r="G28" i="4"/>
  <c r="G19" i="4"/>
  <c r="G33" i="4"/>
  <c r="G27" i="4"/>
  <c r="G24" i="4"/>
  <c r="G26" i="4"/>
  <c r="G31" i="4"/>
  <c r="G20" i="4"/>
  <c r="G23" i="4"/>
  <c r="I118" i="74"/>
  <c r="I35" i="74"/>
  <c r="H14" i="13"/>
  <c r="I72" i="74"/>
  <c r="I87" i="74"/>
  <c r="M103" i="74"/>
  <c r="M94" i="90" s="1"/>
  <c r="J12" i="13"/>
  <c r="M12" i="13" s="1"/>
  <c r="S31" i="74"/>
  <c r="S170" i="74"/>
  <c r="S81" i="74"/>
  <c r="S66" i="74"/>
  <c r="S49" i="74"/>
  <c r="S186" i="74"/>
  <c r="G186" i="74" s="1"/>
  <c r="S112" i="74"/>
  <c r="J11" i="13"/>
  <c r="M11" i="13" s="1"/>
  <c r="G18" i="4"/>
  <c r="J29" i="14"/>
  <c r="I55" i="74"/>
  <c r="K190" i="74"/>
  <c r="G101" i="74"/>
  <c r="I160" i="74"/>
  <c r="I174" i="74"/>
  <c r="I116" i="74"/>
  <c r="I85" i="74"/>
  <c r="G99" i="74"/>
  <c r="I70" i="74"/>
  <c r="I37" i="74"/>
  <c r="G17" i="4"/>
  <c r="K240" i="74" l="1"/>
  <c r="K243" i="74" s="1"/>
  <c r="C42" i="94" s="1"/>
  <c r="AA240" i="74"/>
  <c r="AA243" i="74" s="1"/>
  <c r="C54" i="94" s="1"/>
  <c r="AS240" i="74"/>
  <c r="AS243" i="74" s="1"/>
  <c r="AM240" i="74"/>
  <c r="AM243" i="74" s="1"/>
  <c r="AO240" i="74"/>
  <c r="AO243" i="74" s="1"/>
  <c r="AG240" i="74"/>
  <c r="AG243" i="74" s="1"/>
  <c r="C56" i="94" s="1"/>
  <c r="AQ240" i="74"/>
  <c r="AQ243" i="74" s="1"/>
  <c r="BB240" i="74"/>
  <c r="BB243" i="74" s="1"/>
  <c r="AU240" i="74"/>
  <c r="AU243" i="74" s="1"/>
  <c r="AC240" i="74"/>
  <c r="AC243" i="74" s="1"/>
  <c r="C60" i="94" s="1"/>
  <c r="AW240" i="74"/>
  <c r="AW243" i="74" s="1"/>
  <c r="AK240" i="74"/>
  <c r="AK243" i="74" s="1"/>
  <c r="AE240" i="74"/>
  <c r="AE243" i="74" s="1"/>
  <c r="C58" i="94" s="1"/>
  <c r="AY240" i="74"/>
  <c r="AY243" i="74" s="1"/>
  <c r="Y240" i="74"/>
  <c r="Y243" i="74" s="1"/>
  <c r="C52" i="94" s="1"/>
  <c r="BF240" i="74"/>
  <c r="BF243" i="74" s="1"/>
  <c r="W240" i="74"/>
  <c r="W243" i="74" s="1"/>
  <c r="C50" i="94" s="1"/>
  <c r="U240" i="74"/>
  <c r="U243" i="74" s="1"/>
  <c r="C48" i="94" s="1"/>
  <c r="BD240" i="74"/>
  <c r="BD243" i="74" s="1"/>
  <c r="AI240" i="74"/>
  <c r="AI243" i="74" s="1"/>
  <c r="M240" i="74"/>
  <c r="M243" i="74" s="1"/>
  <c r="O240" i="74"/>
  <c r="O243" i="74" s="1"/>
  <c r="Q240" i="74"/>
  <c r="Q243" i="74" s="1"/>
  <c r="C35" i="94" s="1"/>
  <c r="S240" i="74"/>
  <c r="S243" i="74" s="1"/>
  <c r="C46" i="94" s="1"/>
  <c r="U16" i="74"/>
  <c r="U19" i="74" s="1"/>
  <c r="AC16" i="74"/>
  <c r="AC19" i="74" s="1"/>
  <c r="M14" i="14"/>
  <c r="AM16" i="74"/>
  <c r="AM19" i="74" s="1"/>
  <c r="G44" i="4"/>
  <c r="G44" i="94"/>
  <c r="G43" i="4"/>
  <c r="G43" i="94"/>
  <c r="G160" i="74"/>
  <c r="I151" i="90"/>
  <c r="G151" i="90" s="1"/>
  <c r="G176" i="74"/>
  <c r="I167" i="90"/>
  <c r="G167" i="90" s="1"/>
  <c r="G144" i="74"/>
  <c r="I135" i="90"/>
  <c r="G135" i="90" s="1"/>
  <c r="G85" i="74"/>
  <c r="I76" i="90"/>
  <c r="G76" i="90" s="1"/>
  <c r="G228" i="74"/>
  <c r="W219" i="90"/>
  <c r="G219" i="90" s="1"/>
  <c r="G37" i="74"/>
  <c r="I32" i="90"/>
  <c r="G32" i="90" s="1"/>
  <c r="G116" i="74"/>
  <c r="I107" i="90"/>
  <c r="G107" i="90" s="1"/>
  <c r="G190" i="74"/>
  <c r="K181" i="90"/>
  <c r="G181" i="90" s="1"/>
  <c r="G87" i="74"/>
  <c r="I78" i="90"/>
  <c r="G78" i="90" s="1"/>
  <c r="G118" i="74"/>
  <c r="I109" i="90"/>
  <c r="G109" i="90" s="1"/>
  <c r="G192" i="74"/>
  <c r="K183" i="90"/>
  <c r="G183" i="90" s="1"/>
  <c r="G158" i="74"/>
  <c r="I149" i="90"/>
  <c r="G149" i="90" s="1"/>
  <c r="G142" i="74"/>
  <c r="I133" i="90"/>
  <c r="G133" i="90" s="1"/>
  <c r="G35" i="74"/>
  <c r="I30" i="90"/>
  <c r="G30" i="90" s="1"/>
  <c r="G70" i="74"/>
  <c r="I61" i="90"/>
  <c r="G61" i="90" s="1"/>
  <c r="G174" i="74"/>
  <c r="I165" i="90"/>
  <c r="G165" i="90" s="1"/>
  <c r="G55" i="74"/>
  <c r="I48" i="90"/>
  <c r="G48" i="90" s="1"/>
  <c r="G72" i="74"/>
  <c r="I63" i="90"/>
  <c r="G63" i="90" s="1"/>
  <c r="G53" i="74"/>
  <c r="I46" i="90"/>
  <c r="G46" i="90" s="1"/>
  <c r="O16" i="74"/>
  <c r="O16" i="90" s="1"/>
  <c r="M16" i="74"/>
  <c r="M208" i="74"/>
  <c r="M199" i="90" s="1"/>
  <c r="AE208" i="74"/>
  <c r="O208" i="74"/>
  <c r="O199" i="90" s="1"/>
  <c r="K208" i="74"/>
  <c r="K199" i="90" s="1"/>
  <c r="Q208" i="74"/>
  <c r="Q199" i="90" s="1"/>
  <c r="S208" i="74"/>
  <c r="S199" i="90" s="1"/>
  <c r="J14" i="13"/>
  <c r="G112" i="74"/>
  <c r="S117" i="74" s="1"/>
  <c r="G81" i="74"/>
  <c r="S86" i="74" s="1"/>
  <c r="S191" i="74"/>
  <c r="U49" i="74"/>
  <c r="U31" i="74"/>
  <c r="U170" i="74"/>
  <c r="G170" i="74" s="1"/>
  <c r="U66" i="74"/>
  <c r="U154" i="74"/>
  <c r="G154" i="74" s="1"/>
  <c r="U138" i="74"/>
  <c r="G138" i="74" s="1"/>
  <c r="C60" i="4" l="1"/>
  <c r="C12" i="94"/>
  <c r="I243" i="74"/>
  <c r="C16" i="94" s="1"/>
  <c r="I240" i="74"/>
  <c r="G240" i="74" s="1"/>
  <c r="AE199" i="90"/>
  <c r="S194" i="74"/>
  <c r="S185" i="90" s="1"/>
  <c r="S182" i="90"/>
  <c r="S89" i="74"/>
  <c r="S80" i="90" s="1"/>
  <c r="S77" i="90"/>
  <c r="S120" i="74"/>
  <c r="S111" i="90" s="1"/>
  <c r="S108" i="90"/>
  <c r="M19" i="74"/>
  <c r="M16" i="90"/>
  <c r="U16" i="90"/>
  <c r="I208" i="74"/>
  <c r="I191" i="74"/>
  <c r="I194" i="74" s="1"/>
  <c r="Q191" i="74"/>
  <c r="Q194" i="74" s="1"/>
  <c r="M191" i="74"/>
  <c r="M182" i="90" s="1"/>
  <c r="O191" i="74"/>
  <c r="K86" i="74"/>
  <c r="K100" i="74"/>
  <c r="S100" i="74"/>
  <c r="Q117" i="74"/>
  <c r="M117" i="74"/>
  <c r="O117" i="74"/>
  <c r="K117" i="74"/>
  <c r="K108" i="90" s="1"/>
  <c r="W143" i="74"/>
  <c r="G31" i="74"/>
  <c r="U159" i="74"/>
  <c r="G66" i="74"/>
  <c r="U71" i="74" s="1"/>
  <c r="S16" i="74"/>
  <c r="Q16" i="74"/>
  <c r="K16" i="74"/>
  <c r="K16" i="90" s="1"/>
  <c r="Y16" i="74"/>
  <c r="AA16" i="74"/>
  <c r="AK16" i="74"/>
  <c r="AS16" i="74"/>
  <c r="BB16" i="74"/>
  <c r="AU16" i="74"/>
  <c r="BD16" i="74"/>
  <c r="K159" i="74"/>
  <c r="AG16" i="74"/>
  <c r="AG19" i="74" s="1"/>
  <c r="O19" i="74"/>
  <c r="AO16" i="74"/>
  <c r="AW16" i="74"/>
  <c r="BF16" i="74"/>
  <c r="AI16" i="74"/>
  <c r="AQ16" i="74"/>
  <c r="AY16" i="74"/>
  <c r="K175" i="74"/>
  <c r="K166" i="90" s="1"/>
  <c r="AE16" i="74"/>
  <c r="W16" i="74"/>
  <c r="G49" i="74"/>
  <c r="M19" i="90" l="1"/>
  <c r="C56" i="4"/>
  <c r="G243" i="74"/>
  <c r="AM19" i="90"/>
  <c r="AM16" i="90"/>
  <c r="K89" i="74"/>
  <c r="K80" i="90" s="1"/>
  <c r="K77" i="90"/>
  <c r="AY19" i="74"/>
  <c r="AY19" i="90" s="1"/>
  <c r="AY16" i="90"/>
  <c r="AW19" i="74"/>
  <c r="AW19" i="90" s="1"/>
  <c r="AW16" i="90"/>
  <c r="BB19" i="74"/>
  <c r="BB19" i="90" s="1"/>
  <c r="BB16" i="90"/>
  <c r="AA19" i="74"/>
  <c r="AA16" i="90"/>
  <c r="S19" i="74"/>
  <c r="S16" i="90"/>
  <c r="W146" i="74"/>
  <c r="W137" i="90" s="1"/>
  <c r="W134" i="90"/>
  <c r="Q120" i="74"/>
  <c r="Q111" i="90" s="1"/>
  <c r="Q108" i="90"/>
  <c r="O194" i="74"/>
  <c r="O185" i="90" s="1"/>
  <c r="O182" i="90"/>
  <c r="G208" i="74"/>
  <c r="I199" i="90"/>
  <c r="G199" i="90" s="1"/>
  <c r="AG16" i="90"/>
  <c r="AC16" i="90"/>
  <c r="M120" i="74"/>
  <c r="M111" i="90" s="1"/>
  <c r="M108" i="90"/>
  <c r="W19" i="74"/>
  <c r="W16" i="90"/>
  <c r="AQ19" i="74"/>
  <c r="AQ19" i="90" s="1"/>
  <c r="AQ16" i="90"/>
  <c r="AO19" i="74"/>
  <c r="AO19" i="90" s="1"/>
  <c r="AO16" i="90"/>
  <c r="BD19" i="74"/>
  <c r="BD19" i="90" s="1"/>
  <c r="BD16" i="90"/>
  <c r="AS19" i="74"/>
  <c r="AS19" i="90" s="1"/>
  <c r="AS16" i="90"/>
  <c r="Y19" i="74"/>
  <c r="Y16" i="90"/>
  <c r="U74" i="74"/>
  <c r="U65" i="90" s="1"/>
  <c r="U62" i="90"/>
  <c r="S103" i="74"/>
  <c r="S94" i="90" s="1"/>
  <c r="S91" i="90"/>
  <c r="BF19" i="74"/>
  <c r="BF19" i="90" s="1"/>
  <c r="BF16" i="90"/>
  <c r="Q19" i="74"/>
  <c r="Q16" i="90"/>
  <c r="AE19" i="74"/>
  <c r="AE16" i="90"/>
  <c r="AI19" i="74"/>
  <c r="AI19" i="90" s="1"/>
  <c r="AI16" i="90"/>
  <c r="J14" i="4"/>
  <c r="O19" i="90"/>
  <c r="AU19" i="74"/>
  <c r="AU19" i="90" s="1"/>
  <c r="AU16" i="90"/>
  <c r="AK19" i="74"/>
  <c r="AK19" i="90" s="1"/>
  <c r="AK16" i="90"/>
  <c r="U162" i="74"/>
  <c r="U153" i="90" s="1"/>
  <c r="U150" i="90"/>
  <c r="O120" i="74"/>
  <c r="O111" i="90" s="1"/>
  <c r="O108" i="90"/>
  <c r="K103" i="74"/>
  <c r="K94" i="90" s="1"/>
  <c r="K91" i="90"/>
  <c r="C48" i="4"/>
  <c r="U19" i="90"/>
  <c r="U36" i="74"/>
  <c r="U31" i="90" s="1"/>
  <c r="M36" i="74"/>
  <c r="M31" i="90" s="1"/>
  <c r="O36" i="74"/>
  <c r="O31" i="90" s="1"/>
  <c r="I117" i="74"/>
  <c r="K120" i="74"/>
  <c r="K191" i="74"/>
  <c r="M194" i="74"/>
  <c r="U54" i="74"/>
  <c r="AE175" i="74"/>
  <c r="O175" i="74"/>
  <c r="M175" i="74"/>
  <c r="Q175" i="74"/>
  <c r="S175" i="74"/>
  <c r="U143" i="74"/>
  <c r="U134" i="90" s="1"/>
  <c r="S54" i="74"/>
  <c r="O54" i="74"/>
  <c r="Q54" i="74"/>
  <c r="M54" i="74"/>
  <c r="K54" i="74"/>
  <c r="K47" i="90" s="1"/>
  <c r="W54" i="74"/>
  <c r="K178" i="74"/>
  <c r="K169" i="90" s="1"/>
  <c r="J13" i="4"/>
  <c r="C12" i="4"/>
  <c r="K162" i="74"/>
  <c r="I16" i="74"/>
  <c r="K19" i="74"/>
  <c r="AE71" i="74"/>
  <c r="Q100" i="74"/>
  <c r="W100" i="74"/>
  <c r="O71" i="74"/>
  <c r="K71" i="74"/>
  <c r="K62" i="90" s="1"/>
  <c r="M71" i="74"/>
  <c r="Q71" i="74"/>
  <c r="S71" i="74"/>
  <c r="U100" i="74"/>
  <c r="I100" i="74"/>
  <c r="I91" i="90" s="1"/>
  <c r="W71" i="74"/>
  <c r="O159" i="74"/>
  <c r="O162" i="74" s="1"/>
  <c r="Q159" i="74"/>
  <c r="Q162" i="74" s="1"/>
  <c r="M159" i="74"/>
  <c r="M162" i="74" s="1"/>
  <c r="S159" i="74"/>
  <c r="S162" i="74" s="1"/>
  <c r="Q36" i="74"/>
  <c r="S36" i="74"/>
  <c r="S31" i="90" s="1"/>
  <c r="K36" i="74"/>
  <c r="K31" i="90" s="1"/>
  <c r="U175" i="74"/>
  <c r="C58" i="4" l="1"/>
  <c r="J58" i="4" s="1"/>
  <c r="C54" i="4"/>
  <c r="J50" i="94"/>
  <c r="C52" i="4"/>
  <c r="C46" i="9"/>
  <c r="U39" i="74"/>
  <c r="U34" i="90" s="1"/>
  <c r="C13" i="4"/>
  <c r="C14" i="4" s="1"/>
  <c r="J48" i="4"/>
  <c r="I19" i="74"/>
  <c r="K19" i="90"/>
  <c r="S57" i="74"/>
  <c r="S50" i="90" s="1"/>
  <c r="S47" i="90"/>
  <c r="G191" i="74"/>
  <c r="K182" i="90"/>
  <c r="G182" i="90" s="1"/>
  <c r="U178" i="74"/>
  <c r="U169" i="90" s="1"/>
  <c r="U166" i="90"/>
  <c r="W74" i="74"/>
  <c r="W65" i="90" s="1"/>
  <c r="W62" i="90"/>
  <c r="W103" i="74"/>
  <c r="W94" i="90" s="1"/>
  <c r="W91" i="90"/>
  <c r="G16" i="74"/>
  <c r="I16" i="90"/>
  <c r="G16" i="90" s="1"/>
  <c r="M57" i="74"/>
  <c r="M50" i="90" s="1"/>
  <c r="M47" i="90"/>
  <c r="O178" i="74"/>
  <c r="O169" i="90" s="1"/>
  <c r="O166" i="90"/>
  <c r="U57" i="74"/>
  <c r="U50" i="90" s="1"/>
  <c r="U47" i="90"/>
  <c r="I120" i="74"/>
  <c r="K111" i="90"/>
  <c r="C35" i="4"/>
  <c r="Q19" i="90"/>
  <c r="Y19" i="90"/>
  <c r="AG19" i="90"/>
  <c r="AA19" i="90"/>
  <c r="C35" i="9"/>
  <c r="C36" i="9" s="1"/>
  <c r="C37" i="9" s="1"/>
  <c r="C38" i="9" s="1"/>
  <c r="Q31" i="90"/>
  <c r="O74" i="74"/>
  <c r="O65" i="90" s="1"/>
  <c r="O62" i="90"/>
  <c r="M178" i="74"/>
  <c r="M169" i="90" s="1"/>
  <c r="M166" i="90"/>
  <c r="Q74" i="74"/>
  <c r="Q65" i="90" s="1"/>
  <c r="Q62" i="90"/>
  <c r="M74" i="74"/>
  <c r="M65" i="90" s="1"/>
  <c r="M62" i="90"/>
  <c r="Q103" i="74"/>
  <c r="Q94" i="90" s="1"/>
  <c r="Q91" i="90"/>
  <c r="Q57" i="74"/>
  <c r="Q50" i="90" s="1"/>
  <c r="Q47" i="90"/>
  <c r="S178" i="74"/>
  <c r="S169" i="90" s="1"/>
  <c r="S166" i="90"/>
  <c r="AE178" i="74"/>
  <c r="AE169" i="90" s="1"/>
  <c r="AE166" i="90"/>
  <c r="G117" i="74"/>
  <c r="I108" i="90"/>
  <c r="G108" i="90" s="1"/>
  <c r="S74" i="74"/>
  <c r="S65" i="90" s="1"/>
  <c r="S62" i="90"/>
  <c r="U103" i="74"/>
  <c r="U94" i="90" s="1"/>
  <c r="U91" i="90"/>
  <c r="AE74" i="74"/>
  <c r="AE65" i="90" s="1"/>
  <c r="AE62" i="90"/>
  <c r="W57" i="74"/>
  <c r="W50" i="90" s="1"/>
  <c r="W47" i="90"/>
  <c r="O57" i="74"/>
  <c r="O50" i="90" s="1"/>
  <c r="O47" i="90"/>
  <c r="Q178" i="74"/>
  <c r="Q169" i="90" s="1"/>
  <c r="Q166" i="90"/>
  <c r="K194" i="74"/>
  <c r="M185" i="90"/>
  <c r="AE19" i="90"/>
  <c r="C50" i="4"/>
  <c r="W19" i="90"/>
  <c r="AC19" i="90"/>
  <c r="C46" i="4"/>
  <c r="S19" i="90"/>
  <c r="C44" i="9"/>
  <c r="J44" i="9" s="1"/>
  <c r="S39" i="74"/>
  <c r="S34" i="90" s="1"/>
  <c r="I71" i="74"/>
  <c r="K74" i="74"/>
  <c r="I162" i="74"/>
  <c r="K57" i="74"/>
  <c r="I54" i="74"/>
  <c r="I143" i="74"/>
  <c r="U146" i="74"/>
  <c r="I36" i="74"/>
  <c r="I31" i="90" s="1"/>
  <c r="C40" i="9"/>
  <c r="C41" i="9" s="1"/>
  <c r="C42" i="9" s="1"/>
  <c r="K39" i="74"/>
  <c r="K34" i="90" s="1"/>
  <c r="C12" i="9"/>
  <c r="J13" i="9"/>
  <c r="M39" i="74"/>
  <c r="M34" i="90" s="1"/>
  <c r="G100" i="74"/>
  <c r="I103" i="74"/>
  <c r="J14" i="9"/>
  <c r="O39" i="74"/>
  <c r="O34" i="90" s="1"/>
  <c r="Q39" i="74"/>
  <c r="Q34" i="90" s="1"/>
  <c r="I86" i="74"/>
  <c r="I89" i="74"/>
  <c r="C42" i="4"/>
  <c r="I159" i="74"/>
  <c r="I175" i="74"/>
  <c r="I19" i="90" l="1"/>
  <c r="G19" i="90" s="1"/>
  <c r="G19" i="74"/>
  <c r="I178" i="74"/>
  <c r="G178" i="74" s="1"/>
  <c r="J50" i="4"/>
  <c r="G91" i="90"/>
  <c r="J46" i="4"/>
  <c r="J56" i="4"/>
  <c r="J54" i="4"/>
  <c r="J52" i="4"/>
  <c r="C36" i="4"/>
  <c r="C37" i="4" s="1"/>
  <c r="C38" i="4" s="1"/>
  <c r="C39" i="4" s="1"/>
  <c r="C40" i="4" s="1"/>
  <c r="C43" i="4"/>
  <c r="J43" i="4" s="1"/>
  <c r="G86" i="74"/>
  <c r="I77" i="90"/>
  <c r="G77" i="90" s="1"/>
  <c r="G194" i="74"/>
  <c r="K185" i="90"/>
  <c r="G185" i="90" s="1"/>
  <c r="G143" i="74"/>
  <c r="I134" i="90"/>
  <c r="G134" i="90" s="1"/>
  <c r="G162" i="74"/>
  <c r="I153" i="90"/>
  <c r="G153" i="90" s="1"/>
  <c r="G103" i="74"/>
  <c r="I94" i="90"/>
  <c r="G94" i="90" s="1"/>
  <c r="G54" i="74"/>
  <c r="I47" i="90"/>
  <c r="G47" i="90" s="1"/>
  <c r="I74" i="74"/>
  <c r="K65" i="90"/>
  <c r="G175" i="74"/>
  <c r="I166" i="90"/>
  <c r="G166" i="90" s="1"/>
  <c r="I146" i="74"/>
  <c r="U137" i="90"/>
  <c r="G159" i="74"/>
  <c r="I150" i="90"/>
  <c r="G150" i="90" s="1"/>
  <c r="G89" i="74"/>
  <c r="I80" i="90"/>
  <c r="G80" i="90" s="1"/>
  <c r="G31" i="90"/>
  <c r="I57" i="74"/>
  <c r="K50" i="90"/>
  <c r="G71" i="74"/>
  <c r="I62" i="90"/>
  <c r="G62" i="90" s="1"/>
  <c r="G120" i="74"/>
  <c r="I111" i="90"/>
  <c r="G111" i="90" s="1"/>
  <c r="C13" i="9"/>
  <c r="C14" i="9" s="1"/>
  <c r="C16" i="4"/>
  <c r="I39" i="74"/>
  <c r="I34" i="90" s="1"/>
  <c r="G34" i="90" s="1"/>
  <c r="C16" i="9"/>
  <c r="C48" i="9" s="1"/>
  <c r="G36" i="74"/>
  <c r="C62" i="4" l="1"/>
  <c r="I169" i="90"/>
  <c r="G169" i="90" s="1"/>
  <c r="J39" i="4"/>
  <c r="C44" i="4"/>
  <c r="G146" i="74"/>
  <c r="I137" i="90"/>
  <c r="G137" i="90" s="1"/>
  <c r="G74" i="74"/>
  <c r="I65" i="90"/>
  <c r="G65" i="90" s="1"/>
  <c r="G57" i="74"/>
  <c r="I50" i="90"/>
  <c r="G50" i="90" s="1"/>
  <c r="G39" i="74"/>
  <c r="G204" i="74"/>
  <c r="C17" i="9"/>
  <c r="J17" i="9" s="1"/>
  <c r="J41" i="9"/>
  <c r="C17" i="4"/>
  <c r="C18" i="4" s="1"/>
  <c r="J18" i="4" s="1"/>
  <c r="J48" i="94" l="1"/>
  <c r="C17" i="94"/>
  <c r="C18" i="94" s="1"/>
  <c r="J52" i="94"/>
  <c r="J46" i="94"/>
  <c r="J56" i="94"/>
  <c r="C43" i="94"/>
  <c r="C44" i="94" s="1"/>
  <c r="C36" i="94"/>
  <c r="C37" i="94" s="1"/>
  <c r="C38" i="94" s="1"/>
  <c r="C39" i="94" s="1"/>
  <c r="J54" i="94"/>
  <c r="J58" i="94"/>
  <c r="AE209" i="74"/>
  <c r="AE211" i="74" s="1"/>
  <c r="O209" i="74"/>
  <c r="Q209" i="74"/>
  <c r="S209" i="74"/>
  <c r="M209" i="74"/>
  <c r="K209" i="74"/>
  <c r="K200" i="90" s="1"/>
  <c r="J42" i="9"/>
  <c r="C19" i="4"/>
  <c r="J19" i="4" s="1"/>
  <c r="C18" i="9"/>
  <c r="C19" i="9" s="1"/>
  <c r="C19" i="94" l="1"/>
  <c r="J19" i="94" s="1"/>
  <c r="J18" i="94"/>
  <c r="J43" i="94"/>
  <c r="J44" i="94" s="1"/>
  <c r="S211" i="74"/>
  <c r="S202" i="90" s="1"/>
  <c r="S200" i="90"/>
  <c r="Q211" i="74"/>
  <c r="Q202" i="90" s="1"/>
  <c r="Q200" i="90"/>
  <c r="O211" i="74"/>
  <c r="O202" i="90" s="1"/>
  <c r="O200" i="90"/>
  <c r="M211" i="74"/>
  <c r="M202" i="90" s="1"/>
  <c r="M200" i="90"/>
  <c r="AE202" i="90"/>
  <c r="AE200" i="90"/>
  <c r="C40" i="94"/>
  <c r="J40" i="94" s="1"/>
  <c r="J39" i="94"/>
  <c r="I209" i="74"/>
  <c r="K211" i="74"/>
  <c r="J44" i="4"/>
  <c r="C20" i="9"/>
  <c r="J19" i="9"/>
  <c r="C20" i="4"/>
  <c r="J20" i="4" s="1"/>
  <c r="C20" i="94" l="1"/>
  <c r="I211" i="74"/>
  <c r="G209" i="74"/>
  <c r="I200" i="90"/>
  <c r="G200" i="90" s="1"/>
  <c r="J38" i="94"/>
  <c r="K202" i="90"/>
  <c r="J40" i="4"/>
  <c r="J38" i="4" s="1"/>
  <c r="C21" i="4"/>
  <c r="J20" i="9"/>
  <c r="C21" i="9"/>
  <c r="J37" i="9"/>
  <c r="C21" i="94" l="1"/>
  <c r="J21" i="94" s="1"/>
  <c r="J20" i="94"/>
  <c r="G211" i="74"/>
  <c r="I202" i="90"/>
  <c r="G202" i="90" s="1"/>
  <c r="C22" i="9"/>
  <c r="J22" i="9" s="1"/>
  <c r="J21" i="9"/>
  <c r="C23" i="9"/>
  <c r="C22" i="4"/>
  <c r="J21" i="4"/>
  <c r="C22" i="94" l="1"/>
  <c r="C23" i="94" s="1"/>
  <c r="C24" i="9"/>
  <c r="J23" i="9"/>
  <c r="J38" i="9"/>
  <c r="J22" i="4"/>
  <c r="C23" i="4"/>
  <c r="J22" i="94" l="1"/>
  <c r="C24" i="94"/>
  <c r="J23" i="94"/>
  <c r="J24" i="9"/>
  <c r="C25" i="9"/>
  <c r="C24" i="4"/>
  <c r="J23" i="4"/>
  <c r="J24" i="94" l="1"/>
  <c r="C25" i="94"/>
  <c r="C25" i="4"/>
  <c r="J24" i="4"/>
  <c r="J25" i="9"/>
  <c r="C26" i="9"/>
  <c r="J25" i="94" l="1"/>
  <c r="C26" i="94"/>
  <c r="J25" i="4"/>
  <c r="C26" i="4"/>
  <c r="C27" i="9"/>
  <c r="J26" i="9"/>
  <c r="J36" i="9"/>
  <c r="C27" i="94" l="1"/>
  <c r="J26" i="94"/>
  <c r="C28" i="9"/>
  <c r="J27" i="9"/>
  <c r="J26" i="4"/>
  <c r="C27" i="4"/>
  <c r="C28" i="94" l="1"/>
  <c r="J27" i="94"/>
  <c r="J28" i="9"/>
  <c r="C29" i="9"/>
  <c r="C28" i="4"/>
  <c r="J27" i="4"/>
  <c r="J28" i="94" l="1"/>
  <c r="C29" i="94"/>
  <c r="J28" i="4"/>
  <c r="C29" i="4"/>
  <c r="C30" i="9"/>
  <c r="J29" i="9"/>
  <c r="J29" i="94" l="1"/>
  <c r="C30" i="94"/>
  <c r="J30" i="9"/>
  <c r="C31" i="9"/>
  <c r="C30" i="4"/>
  <c r="J29" i="4"/>
  <c r="C31" i="94" l="1"/>
  <c r="J30" i="94"/>
  <c r="J30" i="4"/>
  <c r="C31" i="4"/>
  <c r="C32" i="9"/>
  <c r="J31" i="9"/>
  <c r="C32" i="94" l="1"/>
  <c r="J31" i="94"/>
  <c r="J32" i="9"/>
  <c r="C33" i="9"/>
  <c r="J33" i="9" s="1"/>
  <c r="C32" i="4"/>
  <c r="J31" i="4"/>
  <c r="C33" i="94" l="1"/>
  <c r="J32" i="94"/>
  <c r="J18" i="9"/>
  <c r="J46" i="9" s="1"/>
  <c r="J48" i="9" s="1"/>
  <c r="J32" i="4"/>
  <c r="C33" i="4"/>
  <c r="J33" i="4" s="1"/>
  <c r="J17" i="4" l="1"/>
  <c r="J60" i="4" s="1"/>
  <c r="J62" i="4" s="1"/>
  <c r="J33" i="94"/>
  <c r="J17" i="94" s="1"/>
  <c r="C13" i="94" l="1"/>
  <c r="C14" i="94" l="1"/>
  <c r="C63" i="94" s="1"/>
  <c r="J13" i="94"/>
  <c r="J14" i="94" l="1"/>
  <c r="J60" i="94" s="1"/>
</calcChain>
</file>

<file path=xl/comments1.xml><?xml version="1.0" encoding="utf-8"?>
<comments xmlns="http://schemas.openxmlformats.org/spreadsheetml/2006/main">
  <authors>
    <author>Scott E Gooding</author>
    <author>Amanda  Daugherty</author>
  </authors>
  <commentList>
    <comment ref="Q10" authorId="0" shapeId="0">
      <text>
        <r>
          <rPr>
            <b/>
            <sz val="9"/>
            <color indexed="81"/>
            <rFont val="Tahoma"/>
            <family val="2"/>
          </rPr>
          <t xml:space="preserve">added $4M for offices moved here from AEM
</t>
        </r>
      </text>
    </comment>
    <comment ref="W10" authorId="0" shapeId="0">
      <text>
        <r>
          <rPr>
            <sz val="9"/>
            <color indexed="81"/>
            <rFont val="Tahoma"/>
            <family val="2"/>
          </rPr>
          <t xml:space="preserve">Add gross plant for Enlink.  $137,247,121.91
</t>
        </r>
      </text>
    </comment>
    <comment ref="I59" authorId="1" shapeId="0">
      <text>
        <r>
          <rPr>
            <b/>
            <sz val="9"/>
            <color indexed="81"/>
            <rFont val="Tahoma"/>
            <family val="2"/>
          </rPr>
          <t>Amanda G Daugherty:</t>
        </r>
        <r>
          <rPr>
            <sz val="9"/>
            <color indexed="81"/>
            <rFont val="Tahoma"/>
            <family val="2"/>
          </rPr>
          <t xml:space="preserve">
not used</t>
        </r>
      </text>
    </comment>
  </commentList>
</comments>
</file>

<file path=xl/comments2.xml><?xml version="1.0" encoding="utf-8"?>
<comments xmlns="http://schemas.openxmlformats.org/spreadsheetml/2006/main">
  <authors>
    <author>Scott E Gooding</author>
    <author>Amanda  Daugherty</author>
  </authors>
  <commentList>
    <comment ref="C11" authorId="0" shapeId="0">
      <text>
        <r>
          <rPr>
            <b/>
            <sz val="9"/>
            <color indexed="81"/>
            <rFont val="Tahoma"/>
            <family val="2"/>
          </rPr>
          <t>Scott E Gooding:</t>
        </r>
        <r>
          <rPr>
            <sz val="9"/>
            <color indexed="81"/>
            <rFont val="Tahoma"/>
            <family val="2"/>
          </rPr>
          <t xml:space="preserve">
Added officed moved from AEM 11/1/16
</t>
        </r>
      </text>
    </comment>
    <comment ref="E12" authorId="1" shapeId="0">
      <text>
        <r>
          <rPr>
            <b/>
            <sz val="9"/>
            <color indexed="81"/>
            <rFont val="Tahoma"/>
            <family val="2"/>
          </rPr>
          <t>Amanda  Daugherty:</t>
        </r>
        <r>
          <rPr>
            <sz val="9"/>
            <color indexed="81"/>
            <rFont val="Tahoma"/>
            <family val="2"/>
          </rPr>
          <t xml:space="preserve">
Blacksburg VA incident reimbursement
</t>
        </r>
      </text>
    </comment>
  </commentList>
</comments>
</file>

<file path=xl/comments3.xml><?xml version="1.0" encoding="utf-8"?>
<comments xmlns="http://schemas.openxmlformats.org/spreadsheetml/2006/main">
  <authors>
    <author>Daugherty, Amanda</author>
    <author>Amanda  Daugherty</author>
  </authors>
  <commentList>
    <comment ref="K7" authorId="0" shapeId="0">
      <text>
        <r>
          <rPr>
            <b/>
            <sz val="8"/>
            <color indexed="81"/>
            <rFont val="Tahoma"/>
            <family val="2"/>
          </rPr>
          <t>Daugherty, Amanda:</t>
        </r>
        <r>
          <rPr>
            <sz val="8"/>
            <color indexed="81"/>
            <rFont val="Tahoma"/>
            <family val="2"/>
          </rPr>
          <t xml:space="preserve">
use these for BTL calc-HQ level
</t>
        </r>
      </text>
    </comment>
    <comment ref="O7" authorId="0" shapeId="0">
      <text>
        <r>
          <rPr>
            <b/>
            <sz val="8"/>
            <color indexed="81"/>
            <rFont val="Tahoma"/>
            <family val="2"/>
          </rPr>
          <t>Daugherty, Amanda:</t>
        </r>
        <r>
          <rPr>
            <sz val="8"/>
            <color indexed="81"/>
            <rFont val="Tahoma"/>
            <family val="2"/>
          </rPr>
          <t xml:space="preserve">
use these for BTL calc-BTL level
</t>
        </r>
      </text>
    </comment>
    <comment ref="Q7" authorId="0" shapeId="0">
      <text>
        <r>
          <rPr>
            <b/>
            <sz val="8"/>
            <color indexed="81"/>
            <rFont val="Tahoma"/>
            <family val="2"/>
          </rPr>
          <t>Daugherty, Amanda:</t>
        </r>
        <r>
          <rPr>
            <sz val="8"/>
            <color indexed="81"/>
            <rFont val="Tahoma"/>
            <family val="2"/>
          </rPr>
          <t xml:space="preserve">
use these for BTL calc-BTL level
</t>
        </r>
      </text>
    </comment>
    <comment ref="O16" authorId="0" shapeId="0">
      <text>
        <r>
          <rPr>
            <b/>
            <sz val="8"/>
            <color indexed="81"/>
            <rFont val="Tahoma"/>
            <family val="2"/>
          </rPr>
          <t>Daugherty, Amanda:</t>
        </r>
        <r>
          <rPr>
            <sz val="8"/>
            <color indexed="81"/>
            <rFont val="Tahoma"/>
            <family val="2"/>
          </rPr>
          <t xml:space="preserve">
hard key this in from the BTL file
</t>
        </r>
      </text>
    </comment>
    <comment ref="Q16" authorId="1" shapeId="0">
      <text>
        <r>
          <rPr>
            <b/>
            <sz val="9"/>
            <color indexed="81"/>
            <rFont val="Tahoma"/>
            <family val="2"/>
          </rPr>
          <t>Amanda  Daugherty:</t>
        </r>
        <r>
          <rPr>
            <sz val="9"/>
            <color indexed="81"/>
            <rFont val="Tahoma"/>
            <family val="2"/>
          </rPr>
          <t xml:space="preserve">
hard key this in from the BTL file
</t>
        </r>
      </text>
    </comment>
  </commentList>
</comments>
</file>

<file path=xl/comments4.xml><?xml version="1.0" encoding="utf-8"?>
<comments xmlns="http://schemas.openxmlformats.org/spreadsheetml/2006/main">
  <authors>
    <author>Amanda  Daugherty</author>
    <author>Scott E Gooding</author>
  </authors>
  <commentList>
    <comment ref="E11" authorId="0" shapeId="0">
      <text>
        <r>
          <rPr>
            <b/>
            <sz val="9"/>
            <color indexed="81"/>
            <rFont val="Tahoma"/>
            <family val="2"/>
          </rPr>
          <t>Amanda G Daugherty:</t>
        </r>
        <r>
          <rPr>
            <sz val="9"/>
            <color indexed="81"/>
            <rFont val="Tahoma"/>
            <family val="2"/>
          </rPr>
          <t xml:space="preserve">
O&amp;M in 001DIV of 7527.71 moved to 005 and 016 50/50 split
3763.86 to each</t>
        </r>
      </text>
    </comment>
    <comment ref="G14" authorId="1" shapeId="0">
      <text>
        <r>
          <rPr>
            <b/>
            <sz val="9"/>
            <color indexed="81"/>
            <rFont val="Tahoma"/>
            <family val="2"/>
          </rPr>
          <t>Scott E Gooding:  Div 014 and 015 customers included in Div 005</t>
        </r>
        <r>
          <rPr>
            <sz val="9"/>
            <color indexed="81"/>
            <rFont val="Tahoma"/>
            <family val="2"/>
          </rPr>
          <t xml:space="preserve">
</t>
        </r>
      </text>
    </comment>
    <comment ref="E19" authorId="0" shapeId="0">
      <text>
        <r>
          <rPr>
            <b/>
            <sz val="9"/>
            <color indexed="81"/>
            <rFont val="Tahoma"/>
            <family val="2"/>
          </rPr>
          <t>Amanda G Daugherty:</t>
        </r>
        <r>
          <rPr>
            <sz val="9"/>
            <color indexed="81"/>
            <rFont val="Tahoma"/>
            <family val="2"/>
          </rPr>
          <t xml:space="preserve">
O&amp;M moved to 005DIV
111521.89</t>
        </r>
      </text>
    </comment>
    <comment ref="E20" authorId="0" shapeId="0">
      <text>
        <r>
          <rPr>
            <b/>
            <sz val="9"/>
            <color indexed="81"/>
            <rFont val="Tahoma"/>
            <family val="2"/>
          </rPr>
          <t xml:space="preserve">Amanda G Daugherty:
</t>
        </r>
        <r>
          <rPr>
            <sz val="9"/>
            <color indexed="81"/>
            <rFont val="Tahoma"/>
            <family val="2"/>
          </rPr>
          <t xml:space="preserve">O&amp;M moved to 005DIV
101857.02
</t>
        </r>
      </text>
    </comment>
  </commentList>
</comments>
</file>

<file path=xl/sharedStrings.xml><?xml version="1.0" encoding="utf-8"?>
<sst xmlns="http://schemas.openxmlformats.org/spreadsheetml/2006/main" count="1139" uniqueCount="429">
  <si>
    <t>ATMOS ENERGY CORPORATION</t>
  </si>
  <si>
    <t>Total</t>
  </si>
  <si>
    <t>Gross Direct PP&amp;E</t>
  </si>
  <si>
    <t>$</t>
  </si>
  <si>
    <t>Average Number of Customers</t>
  </si>
  <si>
    <t>#</t>
  </si>
  <si>
    <t>%</t>
  </si>
  <si>
    <t>Total O&amp;M Expense</t>
  </si>
  <si>
    <t>A. Composite Allocation Factor:</t>
  </si>
  <si>
    <t>Total Composite Factor</t>
  </si>
  <si>
    <t>CO/KS Div</t>
  </si>
  <si>
    <t>LA Div 007</t>
  </si>
  <si>
    <t>LA Div 077</t>
  </si>
  <si>
    <t>West Tex  Div</t>
  </si>
  <si>
    <t xml:space="preserve">Mid-Tex  Div </t>
  </si>
  <si>
    <t>Total O&amp;M Expense *</t>
  </si>
  <si>
    <t>(* w/o Allocation )</t>
  </si>
  <si>
    <t>Atmos Energy Corporation</t>
  </si>
  <si>
    <t>Calculation of Shared Services Blended Depreciation Rate</t>
  </si>
  <si>
    <t>Tier 1</t>
  </si>
  <si>
    <t>Tier 2</t>
  </si>
  <si>
    <t xml:space="preserve"> </t>
  </si>
  <si>
    <t>Company</t>
  </si>
  <si>
    <t>Rate
Division</t>
  </si>
  <si>
    <t>Allocation
Factor</t>
  </si>
  <si>
    <t>Division 002 Rates Only</t>
  </si>
  <si>
    <t>Includes Utility and Non Utlity companies</t>
  </si>
  <si>
    <t>Division 012 Rates Only</t>
  </si>
  <si>
    <t>09</t>
  </si>
  <si>
    <t xml:space="preserve">Atmos Energy Mid States Div </t>
  </si>
  <si>
    <t xml:space="preserve">Development of Allocation Factors </t>
  </si>
  <si>
    <t>Div #</t>
  </si>
  <si>
    <t>Division Name</t>
  </si>
  <si>
    <t>Percent of MidStates Property</t>
  </si>
  <si>
    <t>Percent of MidStates  O &amp; M</t>
  </si>
  <si>
    <t>Percent of MidStates  Customers</t>
  </si>
  <si>
    <t>MidStates Allocation Percent</t>
  </si>
  <si>
    <t>(1)</t>
  </si>
  <si>
    <t>(2)</t>
  </si>
  <si>
    <t>(3)</t>
  </si>
  <si>
    <t>(4)</t>
  </si>
  <si>
    <t>(5)</t>
  </si>
  <si>
    <t>(6)</t>
  </si>
  <si>
    <t>(7)</t>
  </si>
  <si>
    <t>TENNESSEE</t>
  </si>
  <si>
    <t>VIRGINIA</t>
  </si>
  <si>
    <t>KENTUCKY</t>
  </si>
  <si>
    <t>CO/KS Division</t>
  </si>
  <si>
    <t>Development of Allocation Factors</t>
  </si>
  <si>
    <t>CO/KS Allocations Percent</t>
  </si>
  <si>
    <t>Colorado ADM Division</t>
  </si>
  <si>
    <t>KS Division</t>
  </si>
  <si>
    <t xml:space="preserve">Atmos Energy WTX  </t>
  </si>
  <si>
    <t>Percent of WTX Property</t>
  </si>
  <si>
    <t>Percent of WTX  O &amp; M</t>
  </si>
  <si>
    <t>Percent of WTX  Customers</t>
  </si>
  <si>
    <t>WTX Allocation Percent</t>
  </si>
  <si>
    <t>Amarillo Transmission</t>
  </si>
  <si>
    <t>Amarillo Distribution</t>
  </si>
  <si>
    <t>Fritch-Sanford Distrib.</t>
  </si>
  <si>
    <t>West Texas Distribution</t>
  </si>
  <si>
    <t>Dalhart Distribution</t>
  </si>
  <si>
    <t>Fain Line</t>
  </si>
  <si>
    <t>Amarillo Rural Distribution</t>
  </si>
  <si>
    <t>Non Regulated Industrial</t>
  </si>
  <si>
    <t>Regulated Industrial</t>
  </si>
  <si>
    <t>Lubbock City Plant</t>
  </si>
  <si>
    <t>Dalhart Rural Distrib.</t>
  </si>
  <si>
    <t>Dalhart Rural Irrigation</t>
  </si>
  <si>
    <t>Triangle Pipeline</t>
  </si>
  <si>
    <t>Lubbock OCL</t>
  </si>
  <si>
    <t>West Texas Rural Distrib.</t>
  </si>
  <si>
    <t>Energas CNG</t>
  </si>
  <si>
    <t>Div 012</t>
  </si>
  <si>
    <t>Div 002</t>
  </si>
  <si>
    <t>Percent of Greeley Property</t>
  </si>
  <si>
    <t>Percent of Greeley  O &amp; M</t>
  </si>
  <si>
    <t>Percent of Greeley Customers</t>
  </si>
  <si>
    <t>UTILITY ONLY</t>
  </si>
  <si>
    <t>ALL COMPANIES</t>
  </si>
  <si>
    <t>REGULATED ONLY</t>
  </si>
  <si>
    <t>Mississippi Div</t>
  </si>
  <si>
    <t>Kentucky/ MidStates Div</t>
  </si>
  <si>
    <t>Atmos P/L</t>
  </si>
  <si>
    <t>AEM</t>
  </si>
  <si>
    <t>WKG Storage</t>
  </si>
  <si>
    <t>AGC</t>
  </si>
  <si>
    <t>TLGP</t>
  </si>
  <si>
    <t>Colorado Division # 31</t>
  </si>
  <si>
    <t>CO Div  Allocations Percent</t>
  </si>
  <si>
    <t>Greeley</t>
  </si>
  <si>
    <t>NW Colorado</t>
  </si>
  <si>
    <t>Fremont County</t>
  </si>
  <si>
    <t>Durango</t>
  </si>
  <si>
    <t>WT MS COKS</t>
  </si>
  <si>
    <t>LA</t>
  </si>
  <si>
    <t>Texas only</t>
  </si>
  <si>
    <t>Atmos 6</t>
  </si>
  <si>
    <t>***taking all the costs out of 030 to the other divisions</t>
  </si>
  <si>
    <r>
      <t xml:space="preserve">Includes </t>
    </r>
    <r>
      <rPr>
        <b/>
        <sz val="10"/>
        <rFont val="Arial"/>
        <family val="2"/>
      </rPr>
      <t xml:space="preserve">Utility </t>
    </r>
    <r>
      <rPr>
        <sz val="10"/>
        <rFont val="Arial"/>
        <family val="2"/>
      </rPr>
      <t>companies</t>
    </r>
  </si>
  <si>
    <t>West Texas Irrigation</t>
  </si>
  <si>
    <t>COLORADO, LOUISIANA &amp; MISSISSIPPI</t>
  </si>
  <si>
    <t>Remainder</t>
  </si>
  <si>
    <t>Louisiana</t>
  </si>
  <si>
    <t>WTX</t>
  </si>
  <si>
    <t>MDST</t>
  </si>
  <si>
    <t>COKS</t>
  </si>
  <si>
    <t>MISS</t>
  </si>
  <si>
    <t>MIDTX</t>
  </si>
  <si>
    <t>PIPELINE</t>
  </si>
  <si>
    <t>Customer count 1</t>
  </si>
  <si>
    <t>Customer count 2</t>
  </si>
  <si>
    <t>Total customers</t>
  </si>
  <si>
    <t>Atmos Power Sys</t>
  </si>
  <si>
    <t>AP&amp;S</t>
  </si>
  <si>
    <t>UCG Storage</t>
  </si>
  <si>
    <t>TLGS</t>
  </si>
  <si>
    <t>Phoenix Gas</t>
  </si>
  <si>
    <t>Egasco</t>
  </si>
  <si>
    <t>AEP</t>
  </si>
  <si>
    <t>AEH</t>
  </si>
  <si>
    <t>Miss Energies</t>
  </si>
  <si>
    <t>Remaining non reg</t>
  </si>
  <si>
    <t>COB's</t>
  </si>
  <si>
    <t>BTL</t>
  </si>
  <si>
    <t>HQ's</t>
  </si>
  <si>
    <t>Used for Below the Line Calc</t>
  </si>
  <si>
    <t>TATXF</t>
  </si>
  <si>
    <t>TACOF</t>
  </si>
  <si>
    <t>TALAF</t>
  </si>
  <si>
    <t>TAMIF</t>
  </si>
  <si>
    <t>TAMSF</t>
  </si>
  <si>
    <t>TATUF</t>
  </si>
  <si>
    <t>TATPF</t>
  </si>
  <si>
    <t>TAEMF</t>
  </si>
  <si>
    <t>TAWGF</t>
  </si>
  <si>
    <t>TATLF</t>
  </si>
  <si>
    <t>TAPSF</t>
  </si>
  <si>
    <t>CUTXU</t>
  </si>
  <si>
    <t>CUCKU</t>
  </si>
  <si>
    <t>CULAU</t>
  </si>
  <si>
    <t>CUMIU</t>
  </si>
  <si>
    <t>CUMSU</t>
  </si>
  <si>
    <t>CUMTU</t>
  </si>
  <si>
    <t>REGULATED AND 303 (TLGP)</t>
  </si>
  <si>
    <t>CUTXT</t>
  </si>
  <si>
    <t>CUCKT</t>
  </si>
  <si>
    <t>CULAT</t>
  </si>
  <si>
    <t>CUMIT</t>
  </si>
  <si>
    <t>CUMST</t>
  </si>
  <si>
    <t>CUMTT</t>
  </si>
  <si>
    <t>CUTPT</t>
  </si>
  <si>
    <t>CUGPT</t>
  </si>
  <si>
    <t>CGTXR</t>
  </si>
  <si>
    <t>CGCKR</t>
  </si>
  <si>
    <t>CGMSR</t>
  </si>
  <si>
    <t>LAA07</t>
  </si>
  <si>
    <t>LAA77</t>
  </si>
  <si>
    <t>CUTXR</t>
  </si>
  <si>
    <t>CUCKR</t>
  </si>
  <si>
    <t>CULAR</t>
  </si>
  <si>
    <t>CUMIR</t>
  </si>
  <si>
    <t>CUMSR</t>
  </si>
  <si>
    <t>TXONW</t>
  </si>
  <si>
    <t>TXONM</t>
  </si>
  <si>
    <t>TXONP</t>
  </si>
  <si>
    <t xml:space="preserve">WEST TEXAS and MID TEX </t>
  </si>
  <si>
    <t>TXWTR</t>
  </si>
  <si>
    <t>TXMTR</t>
  </si>
  <si>
    <t>GSCKW</t>
  </si>
  <si>
    <t>GSLAW</t>
  </si>
  <si>
    <t>GSMSW</t>
  </si>
  <si>
    <t>Utilities + TLIG (No APT)</t>
  </si>
  <si>
    <t>GSWTT</t>
  </si>
  <si>
    <t>GSCKT</t>
  </si>
  <si>
    <t>GSLAT</t>
  </si>
  <si>
    <t>GSMIT</t>
  </si>
  <si>
    <t>GSMST</t>
  </si>
  <si>
    <t>GSMTT</t>
  </si>
  <si>
    <t>GSTLT</t>
  </si>
  <si>
    <t>TUTXF</t>
  </si>
  <si>
    <t>TUCOF</t>
  </si>
  <si>
    <t>TULAF</t>
  </si>
  <si>
    <t>TUMIF</t>
  </si>
  <si>
    <t>TUMSF</t>
  </si>
  <si>
    <t>TUTUF</t>
  </si>
  <si>
    <t>TUTPF</t>
  </si>
  <si>
    <t>CUSTOMER</t>
  </si>
  <si>
    <t>CCTXR</t>
  </si>
  <si>
    <t>CCCKR</t>
  </si>
  <si>
    <t>CCLAR</t>
  </si>
  <si>
    <t>CCMIR</t>
  </si>
  <si>
    <t>CCMSR</t>
  </si>
  <si>
    <t>CCMTR</t>
  </si>
  <si>
    <t>LLC07</t>
  </si>
  <si>
    <t>LLC77</t>
  </si>
  <si>
    <t>TASTF</t>
  </si>
  <si>
    <t>091DIV</t>
  </si>
  <si>
    <t>subtotal</t>
  </si>
  <si>
    <t>difference</t>
  </si>
  <si>
    <t>095DIV</t>
  </si>
  <si>
    <t>total 050</t>
  </si>
  <si>
    <t>difference 2</t>
  </si>
  <si>
    <t>total 060</t>
  </si>
  <si>
    <t>030DIV</t>
  </si>
  <si>
    <t>Total 030</t>
  </si>
  <si>
    <t>010DIV</t>
  </si>
  <si>
    <t>10A01</t>
  </si>
  <si>
    <t>10A03</t>
  </si>
  <si>
    <t>10A04</t>
  </si>
  <si>
    <t>10A05</t>
  </si>
  <si>
    <t>10A06</t>
  </si>
  <si>
    <t>10A08</t>
  </si>
  <si>
    <t>10A13</t>
  </si>
  <si>
    <t>10A14</t>
  </si>
  <si>
    <t>10A15</t>
  </si>
  <si>
    <t>10A16</t>
  </si>
  <si>
    <t>10A18</t>
  </si>
  <si>
    <t>10A19</t>
  </si>
  <si>
    <t>10A20</t>
  </si>
  <si>
    <t>10A21</t>
  </si>
  <si>
    <t>10C03</t>
  </si>
  <si>
    <t>10C04</t>
  </si>
  <si>
    <t>10C05</t>
  </si>
  <si>
    <t>10C06</t>
  </si>
  <si>
    <t>10C08</t>
  </si>
  <si>
    <t>10C13</t>
  </si>
  <si>
    <t>10C14</t>
  </si>
  <si>
    <t>10C15</t>
  </si>
  <si>
    <t>10C16</t>
  </si>
  <si>
    <t>10C18</t>
  </si>
  <si>
    <t>10C20</t>
  </si>
  <si>
    <t>10C21</t>
  </si>
  <si>
    <t>30A31</t>
  </si>
  <si>
    <t>30A81</t>
  </si>
  <si>
    <t>30C31</t>
  </si>
  <si>
    <t>30C81</t>
  </si>
  <si>
    <t>91C09</t>
  </si>
  <si>
    <t>91C93</t>
  </si>
  <si>
    <t>91C96</t>
  </si>
  <si>
    <t>91O09</t>
  </si>
  <si>
    <t>91O93</t>
  </si>
  <si>
    <t>91O96</t>
  </si>
  <si>
    <t>31A33</t>
  </si>
  <si>
    <t>31A34</t>
  </si>
  <si>
    <t>31A35</t>
  </si>
  <si>
    <t>31A36</t>
  </si>
  <si>
    <t>Atmos 6 + TLIG (No APT or MidTex)</t>
  </si>
  <si>
    <t>GSWTU</t>
  </si>
  <si>
    <t>GSCKU</t>
  </si>
  <si>
    <t>GSLAU</t>
  </si>
  <si>
    <t>GSMIU</t>
  </si>
  <si>
    <t>GSMSU</t>
  </si>
  <si>
    <t>GSTLU</t>
  </si>
  <si>
    <t xml:space="preserve"> SEATX </t>
  </si>
  <si>
    <t>SEACO</t>
  </si>
  <si>
    <t>SEALA</t>
  </si>
  <si>
    <t>SEAMI</t>
  </si>
  <si>
    <t>SEAMS</t>
  </si>
  <si>
    <t>SEATU</t>
  </si>
  <si>
    <t>SEAPL</t>
  </si>
  <si>
    <t>round cust %</t>
  </si>
  <si>
    <t>Alloc %</t>
  </si>
  <si>
    <t>31C33</t>
  </si>
  <si>
    <t>31C34</t>
  </si>
  <si>
    <t>31C35</t>
  </si>
  <si>
    <t>31C36</t>
  </si>
  <si>
    <t>COB33</t>
  </si>
  <si>
    <t>COB34</t>
  </si>
  <si>
    <t>COB35</t>
  </si>
  <si>
    <t>COB36</t>
  </si>
  <si>
    <t>HQB33</t>
  </si>
  <si>
    <t>HQB34</t>
  </si>
  <si>
    <t>HQB35</t>
  </si>
  <si>
    <t>HQB36</t>
  </si>
  <si>
    <t>Atmos Energy-Louisiana</t>
  </si>
  <si>
    <t>Customer Count Sales &amp; Transport</t>
  </si>
  <si>
    <t>Trans La Division - 007DIV</t>
  </si>
  <si>
    <t>Total for Co 020</t>
  </si>
  <si>
    <t>Avg 12 months</t>
  </si>
  <si>
    <t>Atmos Energy-West Texas</t>
  </si>
  <si>
    <t xml:space="preserve">     Fritch &amp; Sanford City Plant Division - 004DIV</t>
  </si>
  <si>
    <t xml:space="preserve">     West Texas Rural Irrigation Division - 008DIV</t>
  </si>
  <si>
    <t>Amarillo City Plant Division - 003DIV</t>
  </si>
  <si>
    <t>Amarillo Rural Division - 013DIV</t>
  </si>
  <si>
    <t>Dalhart City Plant Division - 006DIV</t>
  </si>
  <si>
    <t>Dalhart Rural Irrigation Division - 018DIV</t>
  </si>
  <si>
    <t>Lubbock City Plant Division - 016DIV</t>
  </si>
  <si>
    <t>West Texas Lubbock Environs Division - 020DIV</t>
  </si>
  <si>
    <t>West Texas City Plant Division - 005DIV</t>
  </si>
  <si>
    <t>West Texas Rural Division - 021DIV</t>
  </si>
  <si>
    <t>Non-Regulated Industrial - 014DIV</t>
  </si>
  <si>
    <t>Regulated Industrial - 015DIV</t>
  </si>
  <si>
    <t xml:space="preserve">     West Texas Div- Triangle Pipeline - 019DIV</t>
  </si>
  <si>
    <t>Total Co 030</t>
  </si>
  <si>
    <t>Atmos Energy-KY/Mid-States</t>
  </si>
  <si>
    <t>Kentucky Division - 009DIV</t>
  </si>
  <si>
    <t>Tennessee Division - 093DIV</t>
  </si>
  <si>
    <t>Virginia Division - 096DIV</t>
  </si>
  <si>
    <t>Total for Co 050</t>
  </si>
  <si>
    <t>Atmos Energy-Colorado-Kansas</t>
  </si>
  <si>
    <t>Northeast Colorado Division - 033DIV</t>
  </si>
  <si>
    <t>Northwest &amp; Central Colorado Division - 034DIV</t>
  </si>
  <si>
    <t>Southeast Colorado Division - 035DIV</t>
  </si>
  <si>
    <t>Southwest Colorado Division - 036DIV</t>
  </si>
  <si>
    <t>KS Division - 081DIV</t>
  </si>
  <si>
    <t>Total Co 060</t>
  </si>
  <si>
    <t>Atmos Energy-Mississippi</t>
  </si>
  <si>
    <t>Mississippi Division - 170DIV</t>
  </si>
  <si>
    <t>Atmos Energy-Mid-Tex</t>
  </si>
  <si>
    <t>Total Co 080</t>
  </si>
  <si>
    <t xml:space="preserve">             Customer Count</t>
  </si>
  <si>
    <t>Company 180 Atmos Pipeline - Texas</t>
  </si>
  <si>
    <t>Acctg Mo</t>
  </si>
  <si>
    <t>Prod Mo</t>
  </si>
  <si>
    <t>Count</t>
  </si>
  <si>
    <t>Avg 12 MO</t>
  </si>
  <si>
    <t>Source:  Melinda McBride</t>
  </si>
  <si>
    <t>10C19</t>
  </si>
  <si>
    <t>Atmos Energy Svcs</t>
  </si>
  <si>
    <t>APT &amp; TLGP for CC1155 only</t>
  </si>
  <si>
    <t>Total Composite Factor for FY 2014</t>
  </si>
  <si>
    <t>Allocation of Atmos Corporate (Co. # 10) Cost Based on 12 Month Period Ended 9/30/15</t>
  </si>
  <si>
    <t>FY16=Co 234</t>
  </si>
  <si>
    <t>LGS Division - 077DIV</t>
  </si>
  <si>
    <t>Effective October 1, 2016</t>
  </si>
  <si>
    <t>these roll up into div 031</t>
  </si>
  <si>
    <t>rounding</t>
  </si>
  <si>
    <t>Total LA</t>
  </si>
  <si>
    <t xml:space="preserve">Div 07 </t>
  </si>
  <si>
    <t>Div 77</t>
  </si>
  <si>
    <t>LA Customers</t>
  </si>
  <si>
    <t>This tab was created to check this year v last year.  The numbers highlighted in this color check this year v last.</t>
  </si>
  <si>
    <t>(Also LUxxR)</t>
  </si>
  <si>
    <t>Division 002 Rates Only (Excluding APT)</t>
  </si>
  <si>
    <t>Version</t>
  </si>
  <si>
    <t>Change</t>
  </si>
  <si>
    <t>This version adds the new tab DIV 002 Rates (Excluding APT)</t>
  </si>
  <si>
    <t>Description</t>
  </si>
  <si>
    <t>Adds LXxxX next to stat values that have a corresponding old Liberty value that is still being used</t>
  </si>
  <si>
    <t xml:space="preserve">Adds "Also XXxxX" </t>
  </si>
  <si>
    <t>Fixed Assets department needs new Plant allocator that includes all companies except APT.  New tab called Div 002 Rates (Excluding APT) added based on Div 002 Rates tab.  The tab looks a little strange in that the APT row is left in, but that's to help make the calculations easy.</t>
  </si>
  <si>
    <t>Allocation of Atmos Corporate (Co. # 10) Cost Based on 12 Month Period Ended 9/30/16</t>
  </si>
  <si>
    <t>Atmos Energy Marketing</t>
  </si>
  <si>
    <t>Customers by Counterparty Class</t>
  </si>
  <si>
    <t>Counterparty Class</t>
  </si>
  <si>
    <t>FY16 Q1</t>
  </si>
  <si>
    <t>FY16 Q2</t>
  </si>
  <si>
    <t>FY16 Q3</t>
  </si>
  <si>
    <t>Jul-16</t>
  </si>
  <si>
    <t>Aug-16</t>
  </si>
  <si>
    <t>Sep-16</t>
  </si>
  <si>
    <t>FY16 Q4</t>
  </si>
  <si>
    <t>Industrial</t>
  </si>
  <si>
    <t>Municipality-City</t>
  </si>
  <si>
    <t>Power</t>
  </si>
  <si>
    <t>Marketer</t>
  </si>
  <si>
    <t>Other</t>
  </si>
  <si>
    <t>Q1</t>
  </si>
  <si>
    <t>Q2</t>
  </si>
  <si>
    <t>Q3</t>
  </si>
  <si>
    <t>Q4</t>
  </si>
  <si>
    <t>AVG</t>
  </si>
  <si>
    <t>Fiscal Year 2016</t>
  </si>
  <si>
    <t>Total Composite Factor for FY 2017</t>
  </si>
  <si>
    <t>Sept ' 16 Direct Property Plant &amp; Equipment</t>
  </si>
  <si>
    <t>YE Sept '16 Total O &amp;M w/o 922</t>
  </si>
  <si>
    <t>YE Sept '16 Avg Number of Customers</t>
  </si>
  <si>
    <t>YE Sept '16 Number of Customers</t>
  </si>
  <si>
    <t>Total from above</t>
  </si>
  <si>
    <t>FY17 Actual</t>
  </si>
  <si>
    <t xml:space="preserve">no longer allocating 001div - it should be closed </t>
  </si>
  <si>
    <t>STAT Sub account</t>
  </si>
  <si>
    <t>***taking all the costs out of 010DIV to the other divisions</t>
  </si>
  <si>
    <t>STAT Sub account for customers</t>
  </si>
  <si>
    <t>STAT sub account for customers</t>
  </si>
  <si>
    <t>Atmos 6 + TLGP (No APT or MidTex)</t>
  </si>
  <si>
    <t>LUTXR</t>
  </si>
  <si>
    <t>LCTXR</t>
  </si>
  <si>
    <t>Lowest Level</t>
  </si>
  <si>
    <t>FY17=Co 233</t>
  </si>
  <si>
    <t xml:space="preserve">Gave version 10/31/16 to Plant </t>
  </si>
  <si>
    <t>10A17</t>
  </si>
  <si>
    <t>rounded customer</t>
  </si>
  <si>
    <t>rounded comp</t>
  </si>
  <si>
    <t>round customer</t>
  </si>
  <si>
    <t>round comp</t>
  </si>
  <si>
    <t>Plant</t>
  </si>
  <si>
    <t>Customers</t>
  </si>
  <si>
    <t>O&amp;M</t>
  </si>
  <si>
    <t>BTL33</t>
  </si>
  <si>
    <t>BTL34</t>
  </si>
  <si>
    <t>BTL35</t>
  </si>
  <si>
    <t>BTL36</t>
  </si>
  <si>
    <t>STAT sub account</t>
  </si>
  <si>
    <t>for rounding</t>
  </si>
  <si>
    <t>LUCKU</t>
  </si>
  <si>
    <t>LULAU</t>
  </si>
  <si>
    <t>LUMIU</t>
  </si>
  <si>
    <t>LUMSU</t>
  </si>
  <si>
    <t>LUMTU</t>
  </si>
  <si>
    <t>LUTXU</t>
  </si>
  <si>
    <t>LUCOA</t>
  </si>
  <si>
    <t>LULAA</t>
  </si>
  <si>
    <t>LUMIA</t>
  </si>
  <si>
    <t>LUMSA</t>
  </si>
  <si>
    <t>LUTUA</t>
  </si>
  <si>
    <t>LUTXA</t>
  </si>
  <si>
    <t>LUTPA</t>
  </si>
  <si>
    <t>LUEMA</t>
  </si>
  <si>
    <t>LUPSA</t>
  </si>
  <si>
    <t>LUWGA</t>
  </si>
  <si>
    <t>LUTLA</t>
  </si>
  <si>
    <t>LUSTA</t>
  </si>
  <si>
    <t>LUCOR</t>
  </si>
  <si>
    <t>LULAR</t>
  </si>
  <si>
    <t>LUMIR</t>
  </si>
  <si>
    <t>LUMSR</t>
  </si>
  <si>
    <t>LUTPR</t>
  </si>
  <si>
    <t>LUTUR</t>
  </si>
  <si>
    <t>LCMIR</t>
  </si>
  <si>
    <t>LCMSR</t>
  </si>
  <si>
    <t>LCMTR</t>
  </si>
  <si>
    <t>All companies excluding APT (for AEAM)</t>
  </si>
  <si>
    <t>added 11/03/16 2:50PM</t>
  </si>
  <si>
    <t>LCCKR</t>
  </si>
  <si>
    <t>LCLAR</t>
  </si>
  <si>
    <t>Changes in Nov-16</t>
  </si>
  <si>
    <t>Changes in Jan-17</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</si>
</sst>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quot;$&quot;* #,##0_);_(&quot;$&quot;* \(#,##0\);_(&quot;$&quot;* &quot;-&quot;_);_(@_)"/>
    <numFmt numFmtId="41" formatCode="_(* #,##0_);_(* \(#,##0\);_(* &quot;-&quot;_);_(@_)"/>
    <numFmt numFmtId="43" formatCode="_(* #,##0.00_);_(* \(#,##0.00\);_(* &quot;-&quot;??_);_(@_)"/>
    <numFmt numFmtId="164" formatCode="_(* #,##0_);_(* \(#,##0\);_(* &quot;-&quot;??_);_(@_)"/>
    <numFmt numFmtId="165" formatCode="0.000%"/>
    <numFmt numFmtId="166" formatCode="0.00000%"/>
    <numFmt numFmtId="167" formatCode="000"/>
    <numFmt numFmtId="168" formatCode="#,##0.000_);[Red]\(#,##0.000\)"/>
    <numFmt numFmtId="169" formatCode="0.00000"/>
    <numFmt numFmtId="170" formatCode="#,##0.00000_);[Red]\(#,##0.00000\)"/>
    <numFmt numFmtId="171" formatCode="0.0000"/>
    <numFmt numFmtId="172" formatCode="0.00000_);[Red]\(0.00000\)"/>
    <numFmt numFmtId="173" formatCode="0.000000%"/>
    <numFmt numFmtId="174" formatCode="0.00000000%"/>
    <numFmt numFmtId="175" formatCode="_(* #,##0.0000000_);_(* \(#,##0.0000000\);_(* &quot;-&quot;??_);_(@_)"/>
    <numFmt numFmtId="176" formatCode="0.000000"/>
    <numFmt numFmtId="177" formatCode="00000"/>
    <numFmt numFmtId="178" formatCode="[$-409]mmm\-yy;@"/>
    <numFmt numFmtId="179" formatCode="0.0000%"/>
  </numFmts>
  <fonts count="35" x14ac:knownFonts="1">
    <font>
      <sz val="10"/>
      <name val="Arial"/>
    </font>
    <font>
      <sz val="10"/>
      <name val="Arial"/>
      <family val="2"/>
    </font>
    <font>
      <sz val="10"/>
      <name val="Times New Roman"/>
      <family val="1"/>
    </font>
    <font>
      <b/>
      <sz val="10"/>
      <name val="Times New Roman"/>
      <family val="1"/>
    </font>
    <font>
      <sz val="10"/>
      <name val="Times New Roman"/>
      <family val="1"/>
    </font>
    <font>
      <sz val="10"/>
      <color indexed="12"/>
      <name val="Times New Roman"/>
      <family val="1"/>
    </font>
    <font>
      <b/>
      <sz val="10"/>
      <color indexed="10"/>
      <name val="Times New Roman"/>
      <family val="1"/>
    </font>
    <font>
      <b/>
      <sz val="10"/>
      <color indexed="10"/>
      <name val="Times New Roman"/>
      <family val="1"/>
    </font>
    <font>
      <sz val="10"/>
      <color indexed="56"/>
      <name val="Times New Roman"/>
      <family val="1"/>
    </font>
    <font>
      <u/>
      <sz val="10"/>
      <name val="Times New Roman"/>
      <family val="1"/>
    </font>
    <font>
      <sz val="8"/>
      <name val="Arial"/>
      <family val="2"/>
    </font>
    <font>
      <b/>
      <sz val="10"/>
      <color indexed="10"/>
      <name val="Arial"/>
      <family val="2"/>
    </font>
    <font>
      <b/>
      <sz val="10"/>
      <name val="Arial"/>
      <family val="2"/>
    </font>
    <font>
      <b/>
      <sz val="12"/>
      <color indexed="10"/>
      <name val="Arial"/>
      <family val="2"/>
    </font>
    <font>
      <sz val="11"/>
      <color indexed="8"/>
      <name val="Times New Roman"/>
      <family val="1"/>
    </font>
    <font>
      <b/>
      <sz val="11"/>
      <name val="Times New Roman"/>
      <family val="1"/>
    </font>
    <font>
      <b/>
      <sz val="10"/>
      <name val="Times New Roman"/>
      <family val="1"/>
    </font>
    <font>
      <b/>
      <sz val="10"/>
      <color indexed="10"/>
      <name val="Arial"/>
      <family val="2"/>
    </font>
    <font>
      <sz val="6"/>
      <name val="Times New Roman"/>
      <family val="1"/>
    </font>
    <font>
      <sz val="10"/>
      <name val="Arial"/>
      <family val="2"/>
    </font>
    <font>
      <sz val="12"/>
      <name val="Times New Roman"/>
      <family val="1"/>
    </font>
    <font>
      <sz val="12"/>
      <name val="Times New Roman"/>
      <family val="1"/>
    </font>
    <font>
      <b/>
      <sz val="12"/>
      <name val="Times New Roman"/>
      <family val="1"/>
    </font>
    <font>
      <b/>
      <sz val="8"/>
      <color indexed="81"/>
      <name val="Tahoma"/>
      <family val="2"/>
    </font>
    <font>
      <sz val="8"/>
      <color indexed="81"/>
      <name val="Tahoma"/>
      <family val="2"/>
    </font>
    <font>
      <b/>
      <sz val="12"/>
      <name val="Arial"/>
      <family val="2"/>
    </font>
    <font>
      <sz val="12"/>
      <name val="Arial"/>
      <family val="2"/>
    </font>
    <font>
      <sz val="10"/>
      <color theme="1"/>
      <name val="Arial"/>
      <family val="2"/>
    </font>
    <font>
      <b/>
      <sz val="10"/>
      <color theme="1"/>
      <name val="Arial"/>
      <family val="2"/>
    </font>
    <font>
      <sz val="11"/>
      <name val="Times New Roman"/>
      <family val="1"/>
    </font>
    <font>
      <sz val="9"/>
      <color indexed="81"/>
      <name val="Tahoma"/>
      <family val="2"/>
    </font>
    <font>
      <b/>
      <sz val="9"/>
      <color indexed="81"/>
      <name val="Tahoma"/>
      <family val="2"/>
    </font>
    <font>
      <b/>
      <sz val="12"/>
      <color rgb="FFFF0000"/>
      <name val="Times New Roman"/>
      <family val="1"/>
    </font>
    <font>
      <b/>
      <u val="singleAccounting"/>
      <sz val="10"/>
      <name val="Arial"/>
      <family val="2"/>
    </font>
    <font>
      <b/>
      <u/>
      <sz val="10"/>
      <name val="Arial"/>
      <family val="2"/>
    </font>
  </fonts>
  <fills count="25">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13"/>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1" tint="0.249977111117893"/>
        <bgColor indexed="64"/>
      </patternFill>
    </fill>
    <fill>
      <patternFill patternType="solid">
        <fgColor rgb="FFFFFF00"/>
        <bgColor indexed="64"/>
      </patternFill>
    </fill>
    <fill>
      <patternFill patternType="solid">
        <fgColor rgb="FF92D050"/>
        <bgColor indexed="64"/>
      </patternFill>
    </fill>
    <fill>
      <patternFill patternType="solid">
        <fgColor indexed="22"/>
        <bgColor indexed="64"/>
      </patternFill>
    </fill>
    <fill>
      <patternFill patternType="solid">
        <fgColor indexed="47"/>
        <bgColor indexed="64"/>
      </patternFill>
    </fill>
    <fill>
      <patternFill patternType="solid">
        <fgColor rgb="FFFF0000"/>
        <bgColor indexed="64"/>
      </patternFill>
    </fill>
    <fill>
      <patternFill patternType="solid">
        <fgColor rgb="FFFFC000"/>
        <bgColor indexed="64"/>
      </patternFill>
    </fill>
    <fill>
      <patternFill patternType="solid">
        <fgColor theme="9" tint="0.59999389629810485"/>
        <bgColor indexed="64"/>
      </patternFill>
    </fill>
    <fill>
      <patternFill patternType="gray125">
        <bgColor rgb="FF92D050"/>
      </patternFill>
    </fill>
    <fill>
      <patternFill patternType="gray125">
        <bgColor theme="8" tint="0.39997558519241921"/>
      </patternFill>
    </fill>
    <fill>
      <patternFill patternType="gray125">
        <bgColor theme="0" tint="-0.14999847407452621"/>
      </patternFill>
    </fill>
    <fill>
      <patternFill patternType="gray125">
        <bgColor indexed="13"/>
      </patternFill>
    </fill>
    <fill>
      <patternFill patternType="gray125">
        <bgColor theme="9" tint="0.59999389629810485"/>
      </patternFill>
    </fill>
  </fills>
  <borders count="26">
    <border>
      <left/>
      <right/>
      <top/>
      <bottom/>
      <diagonal/>
    </border>
    <border>
      <left/>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thick">
        <color indexed="64"/>
      </bottom>
      <diagonal/>
    </border>
    <border>
      <left/>
      <right/>
      <top style="medium">
        <color indexed="64"/>
      </top>
      <bottom/>
      <diagonal/>
    </border>
    <border>
      <left/>
      <right/>
      <top style="thick">
        <color indexed="64"/>
      </top>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8">
    <xf numFmtId="0" fontId="0" fillId="0" borderId="0"/>
    <xf numFmtId="43" fontId="1"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0" fontId="20" fillId="0" borderId="0"/>
    <xf numFmtId="0" fontId="21" fillId="0" borderId="0"/>
    <xf numFmtId="40" fontId="14" fillId="2" borderId="0">
      <alignment horizontal="right"/>
    </xf>
    <xf numFmtId="9" fontId="1" fillId="0" borderId="0" applyFont="0" applyFill="0" applyBorder="0" applyAlignment="0" applyProtection="0"/>
    <xf numFmtId="0" fontId="1" fillId="0" borderId="0"/>
    <xf numFmtId="0" fontId="1" fillId="0" borderId="0"/>
    <xf numFmtId="0" fontId="27" fillId="0" borderId="0"/>
    <xf numFmtId="43" fontId="2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cellStyleXfs>
  <cellXfs count="436">
    <xf numFmtId="0" fontId="0" fillId="0" borderId="0" xfId="0"/>
    <xf numFmtId="164" fontId="5" fillId="0" borderId="0" xfId="1" applyNumberFormat="1" applyFont="1" applyFill="1" applyBorder="1"/>
    <xf numFmtId="0" fontId="2" fillId="0" borderId="0" xfId="1" quotePrefix="1" applyNumberFormat="1" applyFont="1" applyFill="1" applyAlignment="1">
      <alignment horizontal="left"/>
    </xf>
    <xf numFmtId="0" fontId="2" fillId="0" borderId="0" xfId="1" applyNumberFormat="1" applyFont="1" applyFill="1"/>
    <xf numFmtId="164" fontId="5" fillId="0" borderId="0" xfId="1" applyNumberFormat="1" applyFont="1" applyFill="1"/>
    <xf numFmtId="0" fontId="2" fillId="0" borderId="0" xfId="0" applyFont="1" applyFill="1"/>
    <xf numFmtId="0" fontId="2" fillId="0" borderId="0" xfId="0" applyFont="1" applyFill="1" applyAlignment="1">
      <alignment horizontal="center"/>
    </xf>
    <xf numFmtId="0" fontId="2" fillId="0" borderId="1" xfId="0" applyFont="1" applyFill="1" applyBorder="1" applyAlignment="1">
      <alignment horizontal="center"/>
    </xf>
    <xf numFmtId="164" fontId="2" fillId="0" borderId="0" xfId="1" applyNumberFormat="1" applyFont="1" applyFill="1"/>
    <xf numFmtId="0" fontId="2" fillId="0" borderId="1" xfId="0" applyFont="1" applyFill="1" applyBorder="1" applyAlignment="1">
      <alignment horizontal="center" wrapText="1"/>
    </xf>
    <xf numFmtId="0" fontId="0" fillId="0" borderId="0" xfId="0" applyFill="1"/>
    <xf numFmtId="0" fontId="3" fillId="0" borderId="0" xfId="0" applyFont="1" applyFill="1" applyAlignment="1">
      <alignment horizontal="centerContinuous"/>
    </xf>
    <xf numFmtId="0" fontId="2" fillId="0" borderId="0" xfId="0" applyFont="1" applyFill="1" applyAlignment="1"/>
    <xf numFmtId="10" fontId="6" fillId="0" borderId="1" xfId="7" applyNumberFormat="1" applyFont="1" applyFill="1" applyBorder="1"/>
    <xf numFmtId="9" fontId="3" fillId="0" borderId="0" xfId="7" applyFont="1" applyFill="1"/>
    <xf numFmtId="10" fontId="6" fillId="0" borderId="0" xfId="7" applyNumberFormat="1" applyFont="1" applyFill="1" applyBorder="1"/>
    <xf numFmtId="9" fontId="3" fillId="0" borderId="0" xfId="7" applyFont="1" applyFill="1" applyBorder="1"/>
    <xf numFmtId="40" fontId="2" fillId="0" borderId="0" xfId="0" applyNumberFormat="1" applyFont="1" applyFill="1"/>
    <xf numFmtId="164" fontId="8" fillId="0" borderId="0" xfId="1" applyNumberFormat="1" applyFont="1" applyFill="1" applyBorder="1"/>
    <xf numFmtId="49" fontId="4" fillId="0" borderId="0" xfId="1" applyNumberFormat="1" applyFont="1" applyFill="1" applyAlignment="1">
      <alignment horizontal="center"/>
    </xf>
    <xf numFmtId="0" fontId="2" fillId="0" borderId="0" xfId="0" applyFont="1" applyFill="1" applyBorder="1" applyAlignment="1">
      <alignment horizontal="center"/>
    </xf>
    <xf numFmtId="174" fontId="1" fillId="0" borderId="0" xfId="7" applyNumberFormat="1" applyFill="1"/>
    <xf numFmtId="174" fontId="12" fillId="0" borderId="0" xfId="7" applyNumberFormat="1" applyFont="1" applyFill="1" applyBorder="1" applyAlignment="1">
      <alignment horizontal="centerContinuous"/>
    </xf>
    <xf numFmtId="174" fontId="1" fillId="0" borderId="0" xfId="7" applyNumberFormat="1" applyFill="1" applyBorder="1"/>
    <xf numFmtId="174" fontId="12" fillId="0" borderId="0" xfId="7" applyNumberFormat="1" applyFont="1" applyFill="1" applyBorder="1" applyAlignment="1">
      <alignment horizontal="center" wrapText="1"/>
    </xf>
    <xf numFmtId="174" fontId="1" fillId="0" borderId="0" xfId="7" applyNumberFormat="1" applyFont="1" applyFill="1" applyBorder="1" applyAlignment="1">
      <alignment horizontal="center" wrapText="1"/>
    </xf>
    <xf numFmtId="10" fontId="1" fillId="0" borderId="0" xfId="7" applyNumberFormat="1" applyFill="1"/>
    <xf numFmtId="10" fontId="1" fillId="0" borderId="7" xfId="7" applyNumberFormat="1" applyFill="1" applyBorder="1"/>
    <xf numFmtId="10" fontId="1" fillId="0" borderId="0" xfId="7" applyNumberFormat="1" applyFill="1" applyBorder="1"/>
    <xf numFmtId="173" fontId="1" fillId="0" borderId="0" xfId="7" applyNumberFormat="1" applyFill="1" applyBorder="1"/>
    <xf numFmtId="10" fontId="1" fillId="0" borderId="12" xfId="7" applyNumberFormat="1" applyFill="1" applyBorder="1"/>
    <xf numFmtId="167" fontId="0" fillId="0" borderId="7" xfId="0" applyNumberFormat="1" applyFill="1" applyBorder="1"/>
    <xf numFmtId="10" fontId="1" fillId="0" borderId="3" xfId="7" applyNumberFormat="1" applyFill="1" applyBorder="1"/>
    <xf numFmtId="173" fontId="1" fillId="0" borderId="0" xfId="7" applyNumberFormat="1" applyFill="1"/>
    <xf numFmtId="0" fontId="2" fillId="0" borderId="0" xfId="0" applyFont="1" applyFill="1" applyAlignment="1">
      <alignment horizontal="centerContinuous"/>
    </xf>
    <xf numFmtId="164" fontId="2" fillId="0" borderId="0" xfId="0" applyNumberFormat="1" applyFont="1" applyFill="1"/>
    <xf numFmtId="40" fontId="0" fillId="0" borderId="0" xfId="0" applyNumberFormat="1" applyFill="1"/>
    <xf numFmtId="174" fontId="1" fillId="0" borderId="0" xfId="7" applyNumberFormat="1" applyFont="1" applyFill="1"/>
    <xf numFmtId="164" fontId="3" fillId="0" borderId="0" xfId="1" applyNumberFormat="1" applyFont="1" applyFill="1" applyAlignment="1">
      <alignment horizontal="centerContinuous"/>
    </xf>
    <xf numFmtId="49" fontId="3" fillId="0" borderId="0" xfId="1" applyNumberFormat="1" applyFont="1" applyFill="1" applyAlignment="1">
      <alignment horizontal="centerContinuous"/>
    </xf>
    <xf numFmtId="49" fontId="3" fillId="0" borderId="0" xfId="1" applyNumberFormat="1" applyFont="1" applyFill="1" applyAlignment="1">
      <alignment horizontal="left"/>
    </xf>
    <xf numFmtId="164" fontId="2" fillId="0" borderId="0" xfId="1" applyNumberFormat="1" applyFont="1" applyFill="1" applyAlignment="1"/>
    <xf numFmtId="0" fontId="9" fillId="0" borderId="0" xfId="0" quotePrefix="1" applyFont="1" applyFill="1" applyBorder="1" applyAlignment="1">
      <alignment horizontal="left"/>
    </xf>
    <xf numFmtId="0" fontId="9" fillId="0" borderId="0" xfId="0" applyFont="1" applyFill="1" applyBorder="1" applyAlignment="1">
      <alignment horizontal="center"/>
    </xf>
    <xf numFmtId="0" fontId="1" fillId="0" borderId="0" xfId="0" applyFont="1" applyFill="1"/>
    <xf numFmtId="0" fontId="2" fillId="0" borderId="0" xfId="0" applyFont="1" applyFill="1" applyBorder="1"/>
    <xf numFmtId="164" fontId="2" fillId="0" borderId="0" xfId="1" applyNumberFormat="1" applyFont="1" applyFill="1" applyBorder="1"/>
    <xf numFmtId="0" fontId="2" fillId="0" borderId="0" xfId="1" applyNumberFormat="1" applyFont="1" applyFill="1" applyAlignment="1">
      <alignment horizontal="left"/>
    </xf>
    <xf numFmtId="164" fontId="6" fillId="0" borderId="0" xfId="1" applyNumberFormat="1" applyFont="1" applyFill="1" applyBorder="1"/>
    <xf numFmtId="0" fontId="2" fillId="0" borderId="0" xfId="0" quotePrefix="1" applyFont="1" applyFill="1" applyAlignment="1">
      <alignment horizontal="left"/>
    </xf>
    <xf numFmtId="164" fontId="2" fillId="0" borderId="0" xfId="0" applyNumberFormat="1" applyFont="1" applyFill="1" applyBorder="1"/>
    <xf numFmtId="9" fontId="3" fillId="0" borderId="0" xfId="7" quotePrefix="1" applyFont="1" applyFill="1" applyAlignment="1">
      <alignment horizontal="left"/>
    </xf>
    <xf numFmtId="10" fontId="7" fillId="0" borderId="0" xfId="7" applyNumberFormat="1" applyFont="1" applyFill="1" applyBorder="1"/>
    <xf numFmtId="10" fontId="6" fillId="0" borderId="0" xfId="1" applyNumberFormat="1" applyFont="1" applyFill="1" applyBorder="1"/>
    <xf numFmtId="40" fontId="4" fillId="0" borderId="0" xfId="1" applyNumberFormat="1" applyFont="1" applyFill="1" applyAlignment="1">
      <alignment horizontal="center"/>
    </xf>
    <xf numFmtId="40" fontId="6" fillId="0" borderId="0" xfId="7" applyNumberFormat="1" applyFont="1" applyFill="1" applyBorder="1"/>
    <xf numFmtId="40" fontId="2" fillId="0" borderId="0" xfId="1" applyNumberFormat="1" applyFont="1" applyFill="1"/>
    <xf numFmtId="0" fontId="0" fillId="0" borderId="12" xfId="0" applyFill="1" applyBorder="1"/>
    <xf numFmtId="0" fontId="0" fillId="0" borderId="12" xfId="0" applyFill="1" applyBorder="1" applyAlignment="1">
      <alignment horizontal="center" wrapText="1"/>
    </xf>
    <xf numFmtId="0" fontId="12" fillId="0" borderId="12" xfId="0" applyFont="1" applyFill="1" applyBorder="1" applyAlignment="1">
      <alignment horizontal="center" wrapText="1"/>
    </xf>
    <xf numFmtId="0" fontId="0" fillId="0" borderId="0" xfId="0" applyFill="1" applyAlignment="1">
      <alignment horizontal="center"/>
    </xf>
    <xf numFmtId="0" fontId="0" fillId="0" borderId="0" xfId="0" quotePrefix="1" applyFill="1" applyAlignment="1">
      <alignment horizontal="center"/>
    </xf>
    <xf numFmtId="0" fontId="0" fillId="0" borderId="0" xfId="0" quotePrefix="1" applyFill="1" applyAlignment="1">
      <alignment horizontal="center" wrapText="1"/>
    </xf>
    <xf numFmtId="0" fontId="12" fillId="0" borderId="0" xfId="0" quotePrefix="1" applyFont="1" applyFill="1" applyAlignment="1">
      <alignment horizontal="center" wrapText="1"/>
    </xf>
    <xf numFmtId="0" fontId="12" fillId="0" borderId="0" xfId="0" applyFont="1" applyFill="1"/>
    <xf numFmtId="43" fontId="1" fillId="0" borderId="0" xfId="1" applyFill="1"/>
    <xf numFmtId="170" fontId="0" fillId="0" borderId="0" xfId="0" applyNumberFormat="1" applyFill="1"/>
    <xf numFmtId="172" fontId="0" fillId="0" borderId="0" xfId="0" applyNumberFormat="1" applyFill="1"/>
    <xf numFmtId="172" fontId="12" fillId="0" borderId="0" xfId="0" applyNumberFormat="1" applyFont="1" applyFill="1"/>
    <xf numFmtId="0" fontId="0" fillId="0" borderId="0" xfId="0" applyFill="1" applyAlignment="1">
      <alignment horizontal="right"/>
    </xf>
    <xf numFmtId="37" fontId="0" fillId="0" borderId="0" xfId="0" applyNumberFormat="1" applyFill="1"/>
    <xf numFmtId="40" fontId="0" fillId="0" borderId="12" xfId="0" applyNumberFormat="1" applyFill="1" applyBorder="1"/>
    <xf numFmtId="37" fontId="0" fillId="0" borderId="12" xfId="0" applyNumberFormat="1" applyFill="1" applyBorder="1"/>
    <xf numFmtId="0" fontId="0" fillId="0" borderId="0" xfId="0" applyFill="1" applyAlignment="1">
      <alignment wrapText="1"/>
    </xf>
    <xf numFmtId="3" fontId="0" fillId="0" borderId="0" xfId="0" applyNumberFormat="1" applyFill="1"/>
    <xf numFmtId="171" fontId="0" fillId="0" borderId="12" xfId="0" applyNumberFormat="1" applyFill="1" applyBorder="1"/>
    <xf numFmtId="169" fontId="0" fillId="0" borderId="12" xfId="0" applyNumberFormat="1" applyFill="1" applyBorder="1"/>
    <xf numFmtId="3" fontId="0" fillId="0" borderId="12" xfId="0" applyNumberFormat="1" applyFill="1" applyBorder="1"/>
    <xf numFmtId="170" fontId="0" fillId="0" borderId="12" xfId="0" applyNumberFormat="1" applyFill="1" applyBorder="1"/>
    <xf numFmtId="0" fontId="12" fillId="0" borderId="12" xfId="0" applyFont="1" applyFill="1" applyBorder="1"/>
    <xf numFmtId="164" fontId="2" fillId="0" borderId="0" xfId="1" applyNumberFormat="1" applyFont="1" applyFill="1" applyAlignment="1">
      <alignment horizontal="center"/>
    </xf>
    <xf numFmtId="164" fontId="2" fillId="0" borderId="1" xfId="1" applyNumberFormat="1" applyFont="1" applyFill="1" applyBorder="1" applyAlignment="1">
      <alignment horizontal="center"/>
    </xf>
    <xf numFmtId="164" fontId="16" fillId="0" borderId="1" xfId="1" applyNumberFormat="1" applyFont="1" applyFill="1" applyBorder="1"/>
    <xf numFmtId="164" fontId="16" fillId="0" borderId="14" xfId="1" applyNumberFormat="1" applyFont="1" applyFill="1" applyBorder="1"/>
    <xf numFmtId="10" fontId="3" fillId="0" borderId="1" xfId="7" applyNumberFormat="1" applyFont="1" applyFill="1" applyBorder="1"/>
    <xf numFmtId="10" fontId="3" fillId="0" borderId="0" xfId="7" applyNumberFormat="1" applyFont="1" applyFill="1"/>
    <xf numFmtId="10" fontId="3" fillId="0" borderId="1" xfId="1" applyNumberFormat="1" applyFont="1" applyFill="1" applyBorder="1"/>
    <xf numFmtId="10" fontId="3" fillId="0" borderId="14" xfId="7" applyNumberFormat="1" applyFont="1" applyFill="1" applyBorder="1"/>
    <xf numFmtId="10" fontId="3" fillId="0" borderId="0" xfId="7" applyNumberFormat="1" applyFont="1" applyFill="1" applyBorder="1"/>
    <xf numFmtId="10" fontId="3" fillId="0" borderId="0" xfId="1" applyNumberFormat="1" applyFont="1" applyFill="1" applyBorder="1"/>
    <xf numFmtId="40" fontId="2" fillId="0" borderId="0" xfId="0" applyNumberFormat="1" applyFont="1" applyFill="1" applyBorder="1"/>
    <xf numFmtId="10" fontId="2" fillId="0" borderId="0" xfId="7" applyNumberFormat="1" applyFont="1" applyFill="1"/>
    <xf numFmtId="168" fontId="2" fillId="0" borderId="0" xfId="0" applyNumberFormat="1" applyFont="1" applyFill="1"/>
    <xf numFmtId="38" fontId="0" fillId="0" borderId="0" xfId="0" applyNumberFormat="1" applyFill="1"/>
    <xf numFmtId="0" fontId="2" fillId="0" borderId="0" xfId="1" applyNumberFormat="1" applyFont="1" applyFill="1" applyBorder="1"/>
    <xf numFmtId="38" fontId="2" fillId="0" borderId="0" xfId="0" applyNumberFormat="1" applyFont="1" applyFill="1"/>
    <xf numFmtId="9" fontId="3" fillId="0" borderId="15" xfId="7" applyFont="1" applyFill="1" applyBorder="1" applyAlignment="1">
      <alignment horizontal="left"/>
    </xf>
    <xf numFmtId="0" fontId="3" fillId="0" borderId="0" xfId="0" applyFont="1" applyFill="1" applyBorder="1" applyAlignment="1">
      <alignment horizontal="centerContinuous"/>
    </xf>
    <xf numFmtId="0" fontId="2" fillId="0" borderId="0" xfId="0" applyFont="1" applyFill="1" applyBorder="1" applyAlignment="1"/>
    <xf numFmtId="10" fontId="16" fillId="0" borderId="1" xfId="7" applyNumberFormat="1" applyFont="1" applyFill="1" applyBorder="1"/>
    <xf numFmtId="10" fontId="16" fillId="0" borderId="0" xfId="7" applyNumberFormat="1" applyFont="1" applyFill="1"/>
    <xf numFmtId="10" fontId="16" fillId="0" borderId="0" xfId="7" applyNumberFormat="1" applyFont="1" applyFill="1" applyBorder="1"/>
    <xf numFmtId="40" fontId="6" fillId="0" borderId="0" xfId="0" applyNumberFormat="1" applyFont="1" applyFill="1"/>
    <xf numFmtId="40" fontId="17" fillId="0" borderId="0" xfId="0" applyNumberFormat="1" applyFont="1" applyFill="1"/>
    <xf numFmtId="10" fontId="12" fillId="0" borderId="0" xfId="7" applyNumberFormat="1" applyFont="1" applyFill="1"/>
    <xf numFmtId="0" fontId="11" fillId="0" borderId="0" xfId="0" applyFont="1" applyFill="1"/>
    <xf numFmtId="166" fontId="1" fillId="0" borderId="0" xfId="7" applyNumberFormat="1" applyFill="1"/>
    <xf numFmtId="175" fontId="2" fillId="0" borderId="0" xfId="1" applyNumberFormat="1" applyFont="1" applyFill="1"/>
    <xf numFmtId="10" fontId="2" fillId="0" borderId="0" xfId="0" applyNumberFormat="1" applyFont="1" applyFill="1" applyBorder="1"/>
    <xf numFmtId="10" fontId="2" fillId="0" borderId="1" xfId="7" applyNumberFormat="1" applyFont="1" applyFill="1" applyBorder="1" applyAlignment="1">
      <alignment horizontal="center" wrapText="1"/>
    </xf>
    <xf numFmtId="164" fontId="2" fillId="0" borderId="1" xfId="1" applyNumberFormat="1" applyFont="1" applyFill="1" applyBorder="1"/>
    <xf numFmtId="164" fontId="2" fillId="0" borderId="14" xfId="1" applyNumberFormat="1" applyFont="1" applyFill="1" applyBorder="1"/>
    <xf numFmtId="3" fontId="18" fillId="0" borderId="0" xfId="0" applyNumberFormat="1" applyFont="1" applyFill="1" applyAlignment="1"/>
    <xf numFmtId="38" fontId="0" fillId="0" borderId="12" xfId="0" applyNumberFormat="1" applyFill="1" applyBorder="1"/>
    <xf numFmtId="0" fontId="0" fillId="0" borderId="0" xfId="0" applyFill="1" applyBorder="1"/>
    <xf numFmtId="10" fontId="0" fillId="0" borderId="0" xfId="0" applyNumberFormat="1" applyFill="1"/>
    <xf numFmtId="10" fontId="12" fillId="0" borderId="0" xfId="0" applyNumberFormat="1" applyFont="1" applyFill="1"/>
    <xf numFmtId="165" fontId="12" fillId="0" borderId="0" xfId="0" applyNumberFormat="1" applyFont="1" applyFill="1"/>
    <xf numFmtId="9" fontId="3" fillId="0" borderId="15" xfId="7" quotePrefix="1" applyFont="1" applyFill="1" applyBorder="1" applyAlignment="1">
      <alignment horizontal="left"/>
    </xf>
    <xf numFmtId="9" fontId="16" fillId="0" borderId="0" xfId="7" quotePrefix="1" applyFont="1" applyFill="1" applyAlignment="1">
      <alignment horizontal="left"/>
    </xf>
    <xf numFmtId="43" fontId="0" fillId="0" borderId="0" xfId="0" applyNumberFormat="1" applyFill="1"/>
    <xf numFmtId="43" fontId="0" fillId="0" borderId="12" xfId="0" applyNumberFormat="1" applyFill="1" applyBorder="1"/>
    <xf numFmtId="164" fontId="1" fillId="0" borderId="0" xfId="1" applyNumberFormat="1" applyFill="1"/>
    <xf numFmtId="39" fontId="0" fillId="0" borderId="12" xfId="0" applyNumberFormat="1" applyFill="1" applyBorder="1"/>
    <xf numFmtId="172" fontId="0" fillId="0" borderId="12" xfId="0" applyNumberFormat="1" applyFill="1" applyBorder="1"/>
    <xf numFmtId="172" fontId="12" fillId="0" borderId="12" xfId="0" applyNumberFormat="1" applyFont="1" applyFill="1" applyBorder="1"/>
    <xf numFmtId="165" fontId="0" fillId="0" borderId="0" xfId="0" applyNumberFormat="1" applyFill="1"/>
    <xf numFmtId="37" fontId="1" fillId="0" borderId="0" xfId="0" applyNumberFormat="1" applyFont="1" applyFill="1"/>
    <xf numFmtId="39" fontId="0" fillId="0" borderId="0" xfId="0" applyNumberFormat="1" applyFill="1"/>
    <xf numFmtId="40" fontId="14" fillId="2" borderId="0" xfId="6" applyBorder="1">
      <alignment horizontal="right"/>
    </xf>
    <xf numFmtId="40" fontId="3" fillId="0" borderId="0" xfId="0" applyNumberFormat="1" applyFont="1" applyFill="1" applyAlignment="1">
      <alignment horizontal="centerContinuous"/>
    </xf>
    <xf numFmtId="0" fontId="3" fillId="0" borderId="15" xfId="0" applyFont="1" applyFill="1" applyBorder="1" applyAlignment="1">
      <alignment horizontal="left"/>
    </xf>
    <xf numFmtId="0" fontId="2" fillId="0" borderId="3" xfId="0" applyFont="1" applyFill="1" applyBorder="1" applyAlignment="1">
      <alignment horizontal="center"/>
    </xf>
    <xf numFmtId="0" fontId="2" fillId="0" borderId="4" xfId="0" applyFont="1" applyFill="1" applyBorder="1" applyAlignment="1">
      <alignment horizontal="center"/>
    </xf>
    <xf numFmtId="0" fontId="2" fillId="0" borderId="0" xfId="0" applyFont="1" applyFill="1" applyBorder="1" applyAlignment="1">
      <alignment horizontal="center" wrapText="1"/>
    </xf>
    <xf numFmtId="43" fontId="0" fillId="0" borderId="0" xfId="1" applyFont="1" applyFill="1"/>
    <xf numFmtId="0" fontId="20" fillId="0" borderId="0" xfId="4" applyFont="1"/>
    <xf numFmtId="41" fontId="20" fillId="0" borderId="0" xfId="4" applyNumberFormat="1"/>
    <xf numFmtId="0" fontId="20" fillId="0" borderId="0" xfId="4"/>
    <xf numFmtId="0" fontId="2" fillId="3" borderId="0" xfId="0" applyFont="1" applyFill="1" applyAlignment="1">
      <alignment horizontal="center"/>
    </xf>
    <xf numFmtId="0" fontId="2" fillId="4" borderId="0" xfId="0" applyFont="1" applyFill="1" applyAlignment="1">
      <alignment horizontal="center"/>
    </xf>
    <xf numFmtId="0" fontId="3" fillId="0" borderId="0" xfId="0" applyFont="1" applyFill="1" applyAlignment="1">
      <alignment horizontal="left"/>
    </xf>
    <xf numFmtId="43" fontId="1" fillId="0" borderId="0" xfId="0" applyNumberFormat="1" applyFont="1" applyFill="1"/>
    <xf numFmtId="0" fontId="0" fillId="0" borderId="0" xfId="0" applyFont="1" applyFill="1"/>
    <xf numFmtId="0" fontId="3" fillId="0" borderId="15" xfId="0" quotePrefix="1" applyFont="1" applyFill="1" applyBorder="1" applyAlignment="1">
      <alignment horizontal="left"/>
    </xf>
    <xf numFmtId="0" fontId="22" fillId="0" borderId="0" xfId="0" applyFont="1" applyFill="1" applyAlignment="1">
      <alignment horizontal="center"/>
    </xf>
    <xf numFmtId="164" fontId="25" fillId="0" borderId="0" xfId="1" applyNumberFormat="1" applyFont="1" applyFill="1" applyAlignment="1">
      <alignment horizontal="center"/>
    </xf>
    <xf numFmtId="0" fontId="25" fillId="0" borderId="0" xfId="0" applyFont="1" applyFill="1" applyAlignment="1">
      <alignment horizontal="center"/>
    </xf>
    <xf numFmtId="0" fontId="25" fillId="0" borderId="0" xfId="0" applyFont="1" applyFill="1" applyBorder="1" applyAlignment="1">
      <alignment horizontal="center"/>
    </xf>
    <xf numFmtId="10" fontId="25" fillId="0" borderId="0" xfId="7" applyNumberFormat="1" applyFont="1" applyFill="1" applyBorder="1" applyAlignment="1">
      <alignment horizontal="center"/>
    </xf>
    <xf numFmtId="9" fontId="25" fillId="0" borderId="0" xfId="7" applyFont="1" applyFill="1" applyAlignment="1">
      <alignment horizontal="center"/>
    </xf>
    <xf numFmtId="0" fontId="25" fillId="0" borderId="0" xfId="0" applyFont="1" applyFill="1"/>
    <xf numFmtId="41" fontId="22" fillId="0" borderId="0" xfId="4" applyNumberFormat="1" applyFont="1"/>
    <xf numFmtId="0" fontId="1" fillId="0" borderId="12" xfId="0" quotePrefix="1" applyFont="1" applyFill="1" applyBorder="1" applyAlignment="1">
      <alignment horizontal="center" wrapText="1"/>
    </xf>
    <xf numFmtId="0" fontId="1" fillId="0" borderId="0" xfId="0" applyFont="1" applyFill="1" applyAlignment="1">
      <alignment horizontal="center"/>
    </xf>
    <xf numFmtId="167" fontId="0" fillId="0" borderId="0" xfId="0" applyNumberFormat="1" applyFill="1"/>
    <xf numFmtId="42" fontId="0" fillId="0" borderId="0" xfId="0" applyNumberFormat="1" applyFill="1"/>
    <xf numFmtId="167" fontId="0" fillId="0" borderId="0" xfId="0" applyNumberFormat="1" applyFill="1" applyAlignment="1">
      <alignment horizontal="right"/>
    </xf>
    <xf numFmtId="167" fontId="0" fillId="0" borderId="0" xfId="0" quotePrefix="1" applyNumberFormat="1" applyFill="1" applyAlignment="1">
      <alignment horizontal="right"/>
    </xf>
    <xf numFmtId="0" fontId="19" fillId="0" borderId="0" xfId="0" applyFont="1" applyFill="1" applyAlignment="1">
      <alignment horizontal="center"/>
    </xf>
    <xf numFmtId="0" fontId="19" fillId="0" borderId="0" xfId="0" applyFont="1" applyFill="1"/>
    <xf numFmtId="0" fontId="12" fillId="0" borderId="2" xfId="0" applyFont="1" applyFill="1" applyBorder="1" applyAlignment="1">
      <alignment horizontal="centerContinuous"/>
    </xf>
    <xf numFmtId="0" fontId="12" fillId="0" borderId="3" xfId="0" applyFont="1" applyFill="1" applyBorder="1" applyAlignment="1">
      <alignment horizontal="centerContinuous"/>
    </xf>
    <xf numFmtId="10" fontId="12" fillId="0" borderId="4" xfId="7" applyNumberFormat="1" applyFont="1" applyFill="1" applyBorder="1" applyAlignment="1">
      <alignment horizontal="centerContinuous"/>
    </xf>
    <xf numFmtId="166" fontId="12" fillId="0" borderId="4" xfId="7" applyNumberFormat="1" applyFont="1" applyFill="1" applyBorder="1" applyAlignment="1">
      <alignment horizontal="centerContinuous"/>
    </xf>
    <xf numFmtId="0" fontId="12" fillId="0" borderId="5" xfId="0" applyFont="1" applyFill="1" applyBorder="1" applyAlignment="1">
      <alignment horizontal="centerContinuous"/>
    </xf>
    <xf numFmtId="0" fontId="12" fillId="0" borderId="0" xfId="0" applyFont="1" applyFill="1" applyAlignment="1">
      <alignment horizontal="center"/>
    </xf>
    <xf numFmtId="0" fontId="12" fillId="0" borderId="0" xfId="0" applyFont="1" applyFill="1" applyAlignment="1">
      <alignment horizontal="center" wrapText="1"/>
    </xf>
    <xf numFmtId="10" fontId="12" fillId="0" borderId="0" xfId="7" applyNumberFormat="1" applyFont="1" applyFill="1" applyAlignment="1">
      <alignment horizontal="center" wrapText="1"/>
    </xf>
    <xf numFmtId="166" fontId="12" fillId="0" borderId="0" xfId="7" applyNumberFormat="1" applyFont="1" applyFill="1" applyAlignment="1">
      <alignment horizontal="center" wrapText="1"/>
    </xf>
    <xf numFmtId="0" fontId="0" fillId="0" borderId="0" xfId="0" applyFill="1" applyAlignment="1">
      <alignment horizontal="center" wrapText="1"/>
    </xf>
    <xf numFmtId="10" fontId="1" fillId="0" borderId="0" xfId="7" applyNumberFormat="1" applyFont="1" applyFill="1" applyAlignment="1">
      <alignment horizontal="center" wrapText="1"/>
    </xf>
    <xf numFmtId="166" fontId="1" fillId="0" borderId="0" xfId="7" applyNumberFormat="1" applyFont="1" applyFill="1" applyAlignment="1">
      <alignment horizontal="center" wrapText="1"/>
    </xf>
    <xf numFmtId="167" fontId="0" fillId="0" borderId="2" xfId="0" applyNumberFormat="1" applyFill="1" applyBorder="1"/>
    <xf numFmtId="167" fontId="0" fillId="0" borderId="3" xfId="0" applyNumberFormat="1" applyFill="1" applyBorder="1"/>
    <xf numFmtId="166" fontId="1" fillId="0" borderId="4" xfId="7" applyNumberFormat="1" applyFill="1" applyBorder="1"/>
    <xf numFmtId="166" fontId="1" fillId="0" borderId="0" xfId="7" applyNumberFormat="1" applyFill="1" applyBorder="1"/>
    <xf numFmtId="167" fontId="0" fillId="0" borderId="6" xfId="0" applyNumberFormat="1" applyFill="1" applyBorder="1"/>
    <xf numFmtId="166" fontId="1" fillId="0" borderId="8" xfId="7" applyNumberFormat="1" applyFill="1" applyBorder="1"/>
    <xf numFmtId="167" fontId="0" fillId="0" borderId="9" xfId="0" applyNumberFormat="1" applyFill="1" applyBorder="1"/>
    <xf numFmtId="167" fontId="0" fillId="0" borderId="0" xfId="0" applyNumberFormat="1" applyFill="1" applyBorder="1"/>
    <xf numFmtId="166" fontId="1" fillId="0" borderId="10" xfId="7" applyNumberFormat="1" applyFill="1" applyBorder="1"/>
    <xf numFmtId="167" fontId="0" fillId="0" borderId="11" xfId="0" applyNumberFormat="1" applyFill="1" applyBorder="1"/>
    <xf numFmtId="167" fontId="0" fillId="0" borderId="12" xfId="0" applyNumberFormat="1" applyFill="1" applyBorder="1"/>
    <xf numFmtId="166" fontId="1" fillId="0" borderId="13" xfId="7" applyNumberFormat="1" applyFill="1" applyBorder="1"/>
    <xf numFmtId="166" fontId="1" fillId="0" borderId="0" xfId="7" applyNumberFormat="1" applyFont="1" applyFill="1" applyBorder="1"/>
    <xf numFmtId="0" fontId="0" fillId="0" borderId="7" xfId="0" applyFill="1" applyBorder="1"/>
    <xf numFmtId="166" fontId="0" fillId="0" borderId="0" xfId="0" applyNumberFormat="1" applyFill="1"/>
    <xf numFmtId="167" fontId="1" fillId="0" borderId="0" xfId="0" applyNumberFormat="1" applyFont="1" applyFill="1" applyBorder="1"/>
    <xf numFmtId="0" fontId="0" fillId="0" borderId="0" xfId="0" quotePrefix="1" applyFill="1" applyAlignment="1">
      <alignment horizontal="right"/>
    </xf>
    <xf numFmtId="176" fontId="0" fillId="0" borderId="0" xfId="0" applyNumberFormat="1" applyFill="1"/>
    <xf numFmtId="41" fontId="0" fillId="0" borderId="0" xfId="0" applyNumberFormat="1" applyFill="1"/>
    <xf numFmtId="41" fontId="1" fillId="0" borderId="0" xfId="0" applyNumberFormat="1" applyFont="1" applyFill="1"/>
    <xf numFmtId="172" fontId="1" fillId="0" borderId="0" xfId="0" applyNumberFormat="1" applyFont="1" applyFill="1"/>
    <xf numFmtId="41" fontId="15" fillId="0" borderId="0" xfId="0" applyNumberFormat="1" applyFont="1" applyFill="1" applyAlignment="1">
      <alignment horizontal="center"/>
    </xf>
    <xf numFmtId="41" fontId="12" fillId="0" borderId="0" xfId="0" quotePrefix="1" applyNumberFormat="1" applyFont="1" applyFill="1" applyAlignment="1">
      <alignment horizontal="center" wrapText="1"/>
    </xf>
    <xf numFmtId="41" fontId="1" fillId="0" borderId="0" xfId="0" applyNumberFormat="1" applyFont="1" applyFill="1" applyBorder="1"/>
    <xf numFmtId="0" fontId="1" fillId="0" borderId="12" xfId="0" applyFont="1" applyFill="1" applyBorder="1" applyAlignment="1">
      <alignment horizontal="center" wrapText="1"/>
    </xf>
    <xf numFmtId="41" fontId="1" fillId="0" borderId="12" xfId="0" applyNumberFormat="1" applyFont="1" applyFill="1" applyBorder="1" applyAlignment="1">
      <alignment horizontal="center" wrapText="1"/>
    </xf>
    <xf numFmtId="0" fontId="1" fillId="0" borderId="0" xfId="0" applyFont="1" applyFill="1" applyAlignment="1">
      <alignment wrapText="1"/>
    </xf>
    <xf numFmtId="49" fontId="2" fillId="0" borderId="0" xfId="1" applyNumberFormat="1" applyFont="1" applyFill="1" applyAlignment="1">
      <alignment horizontal="center"/>
    </xf>
    <xf numFmtId="164" fontId="3" fillId="0" borderId="1" xfId="1" applyNumberFormat="1" applyFont="1" applyFill="1" applyBorder="1"/>
    <xf numFmtId="164" fontId="3" fillId="0" borderId="14" xfId="1" applyNumberFormat="1" applyFont="1" applyFill="1" applyBorder="1"/>
    <xf numFmtId="177" fontId="0" fillId="0" borderId="0" xfId="0" applyNumberFormat="1" applyFill="1" applyAlignment="1" applyProtection="1">
      <alignment horizontal="center" vertical="center"/>
      <protection locked="0"/>
    </xf>
    <xf numFmtId="164" fontId="1" fillId="0" borderId="0" xfId="11" applyNumberFormat="1" applyFont="1" applyFill="1"/>
    <xf numFmtId="10" fontId="16" fillId="5" borderId="1" xfId="7" applyNumberFormat="1" applyFont="1" applyFill="1" applyBorder="1"/>
    <xf numFmtId="10" fontId="16" fillId="5" borderId="0" xfId="7" applyNumberFormat="1" applyFont="1" applyFill="1"/>
    <xf numFmtId="10" fontId="16" fillId="5" borderId="0" xfId="7" applyNumberFormat="1" applyFont="1" applyFill="1" applyBorder="1"/>
    <xf numFmtId="10" fontId="25" fillId="6" borderId="0" xfId="1" applyNumberFormat="1" applyFont="1" applyFill="1" applyBorder="1" applyAlignment="1">
      <alignment horizontal="center"/>
    </xf>
    <xf numFmtId="10" fontId="25" fillId="6" borderId="0" xfId="7" applyNumberFormat="1" applyFont="1" applyFill="1" applyBorder="1" applyAlignment="1">
      <alignment horizontal="center"/>
    </xf>
    <xf numFmtId="9" fontId="25" fillId="6" borderId="0" xfId="7" applyFont="1" applyFill="1" applyAlignment="1">
      <alignment horizontal="center"/>
    </xf>
    <xf numFmtId="10" fontId="16" fillId="6" borderId="1" xfId="7" applyNumberFormat="1" applyFont="1" applyFill="1" applyBorder="1"/>
    <xf numFmtId="10" fontId="16" fillId="6" borderId="0" xfId="7" applyNumberFormat="1" applyFont="1" applyFill="1"/>
    <xf numFmtId="10" fontId="16" fillId="6" borderId="0" xfId="7" applyNumberFormat="1" applyFont="1" applyFill="1" applyBorder="1"/>
    <xf numFmtId="0" fontId="25" fillId="7" borderId="0" xfId="0" applyFont="1" applyFill="1" applyAlignment="1">
      <alignment horizontal="center"/>
    </xf>
    <xf numFmtId="0" fontId="25" fillId="7" borderId="0" xfId="0" applyFont="1" applyFill="1" applyBorder="1" applyAlignment="1">
      <alignment horizontal="center"/>
    </xf>
    <xf numFmtId="10" fontId="16" fillId="7" borderId="1" xfId="7" applyNumberFormat="1" applyFont="1" applyFill="1" applyBorder="1"/>
    <xf numFmtId="10" fontId="16" fillId="7" borderId="0" xfId="7" applyNumberFormat="1" applyFont="1" applyFill="1" applyBorder="1"/>
    <xf numFmtId="164" fontId="25" fillId="6" borderId="0" xfId="1" applyNumberFormat="1" applyFont="1" applyFill="1" applyAlignment="1">
      <alignment horizontal="center"/>
    </xf>
    <xf numFmtId="0" fontId="25" fillId="6" borderId="0" xfId="0" applyFont="1" applyFill="1" applyAlignment="1">
      <alignment horizontal="center"/>
    </xf>
    <xf numFmtId="0" fontId="25" fillId="6" borderId="0" xfId="0" applyFont="1" applyFill="1" applyBorder="1" applyAlignment="1">
      <alignment horizontal="center"/>
    </xf>
    <xf numFmtId="40" fontId="2" fillId="5" borderId="0" xfId="1" applyNumberFormat="1" applyFont="1" applyFill="1" applyAlignment="1">
      <alignment horizontal="center"/>
    </xf>
    <xf numFmtId="40" fontId="2" fillId="5" borderId="0" xfId="0" applyNumberFormat="1" applyFont="1" applyFill="1" applyAlignment="1">
      <alignment horizontal="center"/>
    </xf>
    <xf numFmtId="40" fontId="2" fillId="5" borderId="0" xfId="0" applyNumberFormat="1" applyFont="1" applyFill="1" applyBorder="1" applyAlignment="1">
      <alignment horizontal="center"/>
    </xf>
    <xf numFmtId="10" fontId="2" fillId="5" borderId="0" xfId="7" applyNumberFormat="1" applyFont="1" applyFill="1" applyAlignment="1">
      <alignment horizontal="center"/>
    </xf>
    <xf numFmtId="0" fontId="2" fillId="5" borderId="0" xfId="0" applyFont="1" applyFill="1" applyBorder="1"/>
    <xf numFmtId="0" fontId="25" fillId="5" borderId="0" xfId="0" applyFont="1" applyFill="1" applyBorder="1" applyAlignment="1">
      <alignment horizontal="center"/>
    </xf>
    <xf numFmtId="0" fontId="25" fillId="5" borderId="0" xfId="0" applyFont="1" applyFill="1" applyAlignment="1">
      <alignment horizontal="center"/>
    </xf>
    <xf numFmtId="10" fontId="25" fillId="8" borderId="0" xfId="1" applyNumberFormat="1" applyFont="1" applyFill="1" applyBorder="1" applyAlignment="1">
      <alignment horizontal="center"/>
    </xf>
    <xf numFmtId="10" fontId="25" fillId="8" borderId="0" xfId="7" applyNumberFormat="1" applyFont="1" applyFill="1" applyBorder="1" applyAlignment="1">
      <alignment horizontal="center"/>
    </xf>
    <xf numFmtId="9" fontId="25" fillId="8" borderId="0" xfId="7" applyFont="1" applyFill="1" applyAlignment="1">
      <alignment horizontal="center"/>
    </xf>
    <xf numFmtId="0" fontId="25" fillId="8" borderId="0" xfId="0" applyFont="1" applyFill="1" applyBorder="1" applyAlignment="1">
      <alignment horizontal="center"/>
    </xf>
    <xf numFmtId="0" fontId="25" fillId="8" borderId="0" xfId="0" applyFont="1" applyFill="1" applyAlignment="1">
      <alignment horizontal="center"/>
    </xf>
    <xf numFmtId="10" fontId="16" fillId="8" borderId="1" xfId="7" applyNumberFormat="1" applyFont="1" applyFill="1" applyBorder="1"/>
    <xf numFmtId="10" fontId="16" fillId="8" borderId="0" xfId="7" applyNumberFormat="1" applyFont="1" applyFill="1"/>
    <xf numFmtId="10" fontId="16" fillId="8" borderId="0" xfId="7" applyNumberFormat="1" applyFont="1" applyFill="1" applyBorder="1"/>
    <xf numFmtId="10" fontId="2" fillId="8" borderId="0" xfId="0" applyNumberFormat="1" applyFont="1" applyFill="1" applyBorder="1"/>
    <xf numFmtId="0" fontId="2" fillId="8" borderId="0" xfId="0" applyFont="1" applyFill="1" applyBorder="1"/>
    <xf numFmtId="0" fontId="2" fillId="8" borderId="0" xfId="0" applyFont="1" applyFill="1"/>
    <xf numFmtId="0" fontId="0" fillId="8" borderId="0" xfId="0" applyFill="1"/>
    <xf numFmtId="0" fontId="0" fillId="8" borderId="0" xfId="0" applyFill="1" applyBorder="1"/>
    <xf numFmtId="0" fontId="26" fillId="8" borderId="0" xfId="0" applyFont="1" applyFill="1" applyBorder="1" applyAlignment="1">
      <alignment horizontal="center"/>
    </xf>
    <xf numFmtId="164" fontId="25" fillId="8" borderId="0" xfId="1" applyNumberFormat="1" applyFont="1" applyFill="1" applyAlignment="1">
      <alignment horizontal="center"/>
    </xf>
    <xf numFmtId="164" fontId="25" fillId="5" borderId="0" xfId="1" applyNumberFormat="1" applyFont="1" applyFill="1" applyAlignment="1">
      <alignment horizontal="center"/>
    </xf>
    <xf numFmtId="10" fontId="25" fillId="5" borderId="0" xfId="7" applyNumberFormat="1" applyFont="1" applyFill="1" applyAlignment="1">
      <alignment horizontal="center"/>
    </xf>
    <xf numFmtId="9" fontId="25" fillId="8" borderId="0" xfId="7" applyFont="1" applyFill="1" applyBorder="1" applyAlignment="1">
      <alignment horizontal="center"/>
    </xf>
    <xf numFmtId="0" fontId="25" fillId="8" borderId="0" xfId="0" quotePrefix="1" applyFont="1" applyFill="1" applyAlignment="1">
      <alignment horizontal="center"/>
    </xf>
    <xf numFmtId="10" fontId="3" fillId="8" borderId="1" xfId="7" applyNumberFormat="1" applyFont="1" applyFill="1" applyBorder="1"/>
    <xf numFmtId="10" fontId="3" fillId="8" borderId="0" xfId="7" applyNumberFormat="1" applyFont="1" applyFill="1" applyBorder="1"/>
    <xf numFmtId="10" fontId="3" fillId="8" borderId="0" xfId="7" applyNumberFormat="1" applyFont="1" applyFill="1"/>
    <xf numFmtId="10" fontId="3" fillId="8" borderId="0" xfId="1" applyNumberFormat="1" applyFont="1" applyFill="1" applyBorder="1"/>
    <xf numFmtId="164" fontId="25" fillId="8" borderId="0" xfId="1" applyNumberFormat="1" applyFont="1" applyFill="1" applyBorder="1" applyAlignment="1">
      <alignment horizontal="center"/>
    </xf>
    <xf numFmtId="0" fontId="25" fillId="8" borderId="0" xfId="0" quotePrefix="1" applyFont="1" applyFill="1" applyBorder="1" applyAlignment="1">
      <alignment horizontal="center"/>
    </xf>
    <xf numFmtId="0" fontId="2" fillId="0" borderId="15" xfId="0" applyFont="1" applyFill="1" applyBorder="1" applyAlignment="1">
      <alignment horizontal="center"/>
    </xf>
    <xf numFmtId="43" fontId="16" fillId="0" borderId="1" xfId="1" applyNumberFormat="1" applyFont="1" applyFill="1" applyBorder="1"/>
    <xf numFmtId="42" fontId="1" fillId="0" borderId="0" xfId="0" applyNumberFormat="1" applyFont="1" applyFill="1"/>
    <xf numFmtId="164" fontId="0" fillId="0" borderId="0" xfId="0" applyNumberFormat="1" applyFill="1"/>
    <xf numFmtId="169" fontId="0" fillId="0" borderId="0" xfId="0" applyNumberFormat="1" applyFill="1"/>
    <xf numFmtId="0" fontId="12" fillId="9" borderId="12" xfId="0" applyFont="1" applyFill="1" applyBorder="1" applyAlignment="1">
      <alignment horizontal="center" wrapText="1"/>
    </xf>
    <xf numFmtId="41" fontId="1" fillId="9" borderId="12" xfId="0" applyNumberFormat="1" applyFont="1" applyFill="1" applyBorder="1" applyAlignment="1">
      <alignment horizontal="center" wrapText="1"/>
    </xf>
    <xf numFmtId="0" fontId="12" fillId="9" borderId="0" xfId="0" quotePrefix="1" applyFont="1" applyFill="1" applyAlignment="1">
      <alignment horizontal="center" wrapText="1"/>
    </xf>
    <xf numFmtId="41" fontId="12" fillId="9" borderId="0" xfId="0" quotePrefix="1" applyNumberFormat="1" applyFont="1" applyFill="1" applyAlignment="1">
      <alignment horizontal="center" wrapText="1"/>
    </xf>
    <xf numFmtId="0" fontId="12" fillId="9" borderId="0" xfId="0" applyFont="1" applyFill="1"/>
    <xf numFmtId="41" fontId="1" fillId="9" borderId="0" xfId="0" applyNumberFormat="1" applyFont="1" applyFill="1"/>
    <xf numFmtId="10" fontId="12" fillId="9" borderId="0" xfId="0" applyNumberFormat="1" applyFont="1" applyFill="1"/>
    <xf numFmtId="0" fontId="12" fillId="10" borderId="12" xfId="0" applyFont="1" applyFill="1" applyBorder="1" applyAlignment="1">
      <alignment horizontal="center" wrapText="1"/>
    </xf>
    <xf numFmtId="0" fontId="0" fillId="10" borderId="0" xfId="0" applyFill="1"/>
    <xf numFmtId="0" fontId="0" fillId="10" borderId="0" xfId="0" applyFill="1" applyAlignment="1">
      <alignment wrapText="1"/>
    </xf>
    <xf numFmtId="10" fontId="0" fillId="10" borderId="0" xfId="0" applyNumberFormat="1" applyFill="1"/>
    <xf numFmtId="177" fontId="1" fillId="10" borderId="0" xfId="0" applyNumberFormat="1" applyFont="1" applyFill="1" applyAlignment="1" applyProtection="1">
      <alignment horizontal="center" vertical="center"/>
      <protection locked="0"/>
    </xf>
    <xf numFmtId="164" fontId="2" fillId="0" borderId="0" xfId="1" applyNumberFormat="1" applyFont="1" applyFill="1" applyAlignment="1">
      <alignment horizontal="centerContinuous"/>
    </xf>
    <xf numFmtId="166" fontId="12" fillId="0" borderId="0" xfId="0" applyNumberFormat="1" applyFont="1" applyFill="1"/>
    <xf numFmtId="170" fontId="12" fillId="0" borderId="12" xfId="0" applyNumberFormat="1" applyFont="1" applyFill="1" applyBorder="1"/>
    <xf numFmtId="166" fontId="0" fillId="0" borderId="0" xfId="7" applyNumberFormat="1" applyFont="1" applyFill="1"/>
    <xf numFmtId="166" fontId="0" fillId="0" borderId="20" xfId="7" applyNumberFormat="1" applyFont="1" applyFill="1" applyBorder="1"/>
    <xf numFmtId="0" fontId="0" fillId="0" borderId="2" xfId="0" applyFill="1" applyBorder="1"/>
    <xf numFmtId="0" fontId="0" fillId="0" borderId="3" xfId="0" applyFill="1" applyBorder="1"/>
    <xf numFmtId="0" fontId="0" fillId="0" borderId="4" xfId="0" applyFill="1" applyBorder="1"/>
    <xf numFmtId="174" fontId="13" fillId="0" borderId="0" xfId="7" applyNumberFormat="1" applyFont="1" applyFill="1" applyAlignment="1">
      <alignment horizontal="left"/>
    </xf>
    <xf numFmtId="10" fontId="3" fillId="11" borderId="1" xfId="1" applyNumberFormat="1" applyFont="1" applyFill="1" applyBorder="1"/>
    <xf numFmtId="0" fontId="3" fillId="11" borderId="22" xfId="0" applyFont="1" applyFill="1" applyBorder="1" applyAlignment="1">
      <alignment horizontal="centerContinuous"/>
    </xf>
    <xf numFmtId="0" fontId="2" fillId="11" borderId="22" xfId="0" applyFont="1" applyFill="1" applyBorder="1" applyAlignment="1"/>
    <xf numFmtId="0" fontId="3" fillId="11" borderId="23" xfId="0" applyFont="1" applyFill="1" applyBorder="1" applyAlignment="1">
      <alignment horizontal="centerContinuous"/>
    </xf>
    <xf numFmtId="0" fontId="32" fillId="11" borderId="21" xfId="0" applyFont="1" applyFill="1" applyBorder="1" applyAlignment="1">
      <alignment horizontal="left"/>
    </xf>
    <xf numFmtId="167" fontId="1" fillId="12" borderId="2" xfId="0" applyNumberFormat="1" applyFont="1" applyFill="1" applyBorder="1"/>
    <xf numFmtId="167" fontId="1" fillId="12" borderId="3" xfId="0" applyNumberFormat="1" applyFont="1" applyFill="1" applyBorder="1"/>
    <xf numFmtId="10" fontId="1" fillId="12" borderId="3" xfId="7" applyNumberFormat="1" applyFont="1" applyFill="1" applyBorder="1"/>
    <xf numFmtId="166" fontId="1" fillId="12" borderId="4" xfId="7" applyNumberFormat="1" applyFont="1" applyFill="1" applyBorder="1"/>
    <xf numFmtId="166" fontId="1" fillId="12" borderId="0" xfId="0" applyNumberFormat="1" applyFont="1" applyFill="1"/>
    <xf numFmtId="173" fontId="1" fillId="12" borderId="0" xfId="7" applyNumberFormat="1" applyFont="1" applyFill="1" applyBorder="1"/>
    <xf numFmtId="0" fontId="1" fillId="12" borderId="0" xfId="0" applyFont="1" applyFill="1"/>
    <xf numFmtId="0" fontId="1" fillId="0" borderId="0" xfId="0" applyFont="1"/>
    <xf numFmtId="0" fontId="33" fillId="0" borderId="0" xfId="0" applyFont="1"/>
    <xf numFmtId="0" fontId="33" fillId="0" borderId="0" xfId="0" applyFont="1" applyAlignment="1">
      <alignment wrapText="1"/>
    </xf>
    <xf numFmtId="0" fontId="0" fillId="0" borderId="0" xfId="0" applyAlignment="1">
      <alignment wrapText="1"/>
    </xf>
    <xf numFmtId="0" fontId="1" fillId="0" borderId="0" xfId="0" applyFont="1" applyAlignment="1">
      <alignment wrapText="1"/>
    </xf>
    <xf numFmtId="49" fontId="4" fillId="14" borderId="0" xfId="1" applyNumberFormat="1" applyFont="1" applyFill="1" applyAlignment="1">
      <alignment horizontal="center"/>
    </xf>
    <xf numFmtId="0" fontId="2" fillId="14" borderId="0" xfId="1" applyNumberFormat="1" applyFont="1" applyFill="1"/>
    <xf numFmtId="0" fontId="2" fillId="14" borderId="0" xfId="1" quotePrefix="1" applyNumberFormat="1" applyFont="1" applyFill="1" applyAlignment="1">
      <alignment horizontal="left"/>
    </xf>
    <xf numFmtId="0" fontId="0" fillId="14" borderId="0" xfId="0" applyFill="1"/>
    <xf numFmtId="164" fontId="2" fillId="14" borderId="0" xfId="1" applyNumberFormat="1" applyFont="1" applyFill="1" applyBorder="1"/>
    <xf numFmtId="164" fontId="2" fillId="14" borderId="1" xfId="1" applyNumberFormat="1" applyFont="1" applyFill="1" applyBorder="1"/>
    <xf numFmtId="164" fontId="2" fillId="14" borderId="0" xfId="1" applyNumberFormat="1" applyFont="1" applyFill="1"/>
    <xf numFmtId="164" fontId="5" fillId="14" borderId="0" xfId="1" applyNumberFormat="1" applyFont="1" applyFill="1"/>
    <xf numFmtId="164" fontId="16" fillId="14" borderId="1" xfId="1" applyNumberFormat="1" applyFont="1" applyFill="1" applyBorder="1"/>
    <xf numFmtId="164" fontId="2" fillId="14" borderId="14" xfId="1" applyNumberFormat="1" applyFont="1" applyFill="1" applyBorder="1"/>
    <xf numFmtId="0" fontId="12" fillId="15" borderId="24" xfId="0" applyFont="1" applyFill="1" applyBorder="1"/>
    <xf numFmtId="0" fontId="12" fillId="0" borderId="0" xfId="0" applyFont="1"/>
    <xf numFmtId="0" fontId="12" fillId="15" borderId="25" xfId="0" applyFont="1" applyFill="1" applyBorder="1"/>
    <xf numFmtId="0" fontId="34" fillId="0" borderId="0" xfId="0" applyFont="1"/>
    <xf numFmtId="178" fontId="34" fillId="0" borderId="0" xfId="0" applyNumberFormat="1" applyFont="1" applyAlignment="1">
      <alignment horizontal="center"/>
    </xf>
    <xf numFmtId="0" fontId="34" fillId="16" borderId="0" xfId="0" applyFont="1" applyFill="1" applyAlignment="1">
      <alignment horizontal="center"/>
    </xf>
    <xf numFmtId="16" fontId="34" fillId="0" borderId="0" xfId="0" quotePrefix="1" applyNumberFormat="1" applyFont="1" applyAlignment="1">
      <alignment horizontal="center"/>
    </xf>
    <xf numFmtId="0" fontId="34" fillId="0" borderId="0" xfId="0" applyFont="1" applyFill="1" applyAlignment="1">
      <alignment horizontal="center"/>
    </xf>
    <xf numFmtId="0" fontId="0" fillId="0" borderId="0" xfId="0" applyAlignment="1">
      <alignment horizontal="center"/>
    </xf>
    <xf numFmtId="0" fontId="0" fillId="16" borderId="0" xfId="0" applyFill="1" applyAlignment="1">
      <alignment horizontal="center"/>
    </xf>
    <xf numFmtId="0" fontId="1" fillId="0" borderId="12" xfId="0" applyFont="1" applyBorder="1" applyAlignment="1">
      <alignment horizontal="center"/>
    </xf>
    <xf numFmtId="0" fontId="1" fillId="16" borderId="12" xfId="0" applyFont="1" applyFill="1" applyBorder="1" applyAlignment="1">
      <alignment horizontal="center"/>
    </xf>
    <xf numFmtId="0" fontId="1" fillId="0" borderId="12" xfId="0" applyFont="1" applyFill="1" applyBorder="1" applyAlignment="1">
      <alignment horizontal="center"/>
    </xf>
    <xf numFmtId="0" fontId="1" fillId="0" borderId="0" xfId="0" applyFont="1" applyBorder="1" applyAlignment="1">
      <alignment horizontal="center"/>
    </xf>
    <xf numFmtId="0" fontId="1" fillId="16" borderId="0" xfId="0" applyFont="1" applyFill="1" applyBorder="1" applyAlignment="1">
      <alignment horizontal="center"/>
    </xf>
    <xf numFmtId="0" fontId="1" fillId="0" borderId="0" xfId="0" applyFont="1" applyFill="1" applyBorder="1" applyAlignment="1">
      <alignment horizontal="center"/>
    </xf>
    <xf numFmtId="0" fontId="12" fillId="0" borderId="0" xfId="0" applyFont="1" applyBorder="1" applyAlignment="1">
      <alignment horizontal="center"/>
    </xf>
    <xf numFmtId="0" fontId="12" fillId="16" borderId="0" xfId="0" applyFont="1" applyFill="1" applyBorder="1" applyAlignment="1">
      <alignment horizontal="center"/>
    </xf>
    <xf numFmtId="0" fontId="12" fillId="0" borderId="0" xfId="0" applyFont="1" applyAlignment="1">
      <alignment horizontal="center"/>
    </xf>
    <xf numFmtId="0" fontId="12" fillId="16" borderId="0" xfId="0" applyFont="1" applyFill="1" applyAlignment="1">
      <alignment horizontal="center"/>
    </xf>
    <xf numFmtId="0" fontId="11" fillId="0" borderId="0" xfId="0" quotePrefix="1" applyFont="1" applyAlignment="1">
      <alignment horizontal="center"/>
    </xf>
    <xf numFmtId="0" fontId="0" fillId="0" borderId="0" xfId="0" applyBorder="1"/>
    <xf numFmtId="1" fontId="12" fillId="0" borderId="0" xfId="0" applyNumberFormat="1" applyFont="1"/>
    <xf numFmtId="0" fontId="12" fillId="0" borderId="0" xfId="13" quotePrefix="1" applyFont="1"/>
    <xf numFmtId="0" fontId="12" fillId="0" borderId="0" xfId="9" quotePrefix="1" applyFont="1"/>
    <xf numFmtId="0" fontId="28" fillId="0" borderId="16" xfId="0" applyFont="1" applyBorder="1" applyAlignment="1">
      <alignment wrapText="1"/>
    </xf>
    <xf numFmtId="17" fontId="0" fillId="0" borderId="0" xfId="0" applyNumberFormat="1"/>
    <xf numFmtId="164" fontId="0" fillId="0" borderId="0" xfId="11" applyNumberFormat="1" applyFont="1"/>
    <xf numFmtId="164" fontId="0" fillId="0" borderId="0" xfId="0" applyNumberFormat="1"/>
    <xf numFmtId="17" fontId="0" fillId="13" borderId="0" xfId="0" applyNumberFormat="1" applyFill="1"/>
    <xf numFmtId="164" fontId="0" fillId="13" borderId="0" xfId="0" applyNumberFormat="1" applyFill="1"/>
    <xf numFmtId="0" fontId="12" fillId="0" borderId="16" xfId="14" quotePrefix="1" applyFont="1" applyBorder="1" applyAlignment="1">
      <alignment wrapText="1"/>
    </xf>
    <xf numFmtId="0" fontId="28" fillId="0" borderId="16" xfId="0" applyFont="1" applyBorder="1"/>
    <xf numFmtId="0" fontId="12" fillId="0" borderId="0" xfId="12" quotePrefix="1" applyFont="1"/>
    <xf numFmtId="0" fontId="1" fillId="0" borderId="0" xfId="12"/>
    <xf numFmtId="0" fontId="1" fillId="0" borderId="0" xfId="12" quotePrefix="1"/>
    <xf numFmtId="0" fontId="12" fillId="0" borderId="0" xfId="15" quotePrefix="1" applyFont="1"/>
    <xf numFmtId="0" fontId="12" fillId="0" borderId="0" xfId="16" quotePrefix="1" applyFont="1"/>
    <xf numFmtId="0" fontId="12" fillId="0" borderId="0" xfId="17" quotePrefix="1" applyFont="1"/>
    <xf numFmtId="0" fontId="12" fillId="0" borderId="16" xfId="16" quotePrefix="1" applyFont="1" applyFill="1" applyBorder="1" applyAlignment="1">
      <alignment wrapText="1"/>
    </xf>
    <xf numFmtId="0" fontId="28" fillId="0" borderId="0" xfId="0" applyFont="1"/>
    <xf numFmtId="0" fontId="0" fillId="0" borderId="17" xfId="0" applyBorder="1"/>
    <xf numFmtId="0" fontId="0" fillId="0" borderId="17" xfId="0" applyBorder="1" applyAlignment="1">
      <alignment horizontal="center"/>
    </xf>
    <xf numFmtId="17" fontId="29" fillId="0" borderId="19" xfId="0" quotePrefix="1" applyNumberFormat="1" applyFont="1" applyBorder="1"/>
    <xf numFmtId="38" fontId="0" fillId="0" borderId="19" xfId="0" applyNumberFormat="1" applyBorder="1"/>
    <xf numFmtId="17" fontId="29" fillId="0" borderId="0" xfId="0" quotePrefix="1" applyNumberFormat="1" applyFont="1" applyBorder="1"/>
    <xf numFmtId="38" fontId="0" fillId="0" borderId="0" xfId="0" applyNumberFormat="1" applyBorder="1"/>
    <xf numFmtId="0" fontId="20" fillId="0" borderId="0" xfId="0" applyFont="1"/>
    <xf numFmtId="38" fontId="0" fillId="0" borderId="18" xfId="0" applyNumberFormat="1" applyBorder="1"/>
    <xf numFmtId="0" fontId="28" fillId="13" borderId="0" xfId="0" applyFont="1" applyFill="1"/>
    <xf numFmtId="43" fontId="0" fillId="13" borderId="0" xfId="0" applyNumberFormat="1" applyFill="1"/>
    <xf numFmtId="41" fontId="1" fillId="17" borderId="0" xfId="0" applyNumberFormat="1" applyFont="1" applyFill="1"/>
    <xf numFmtId="49" fontId="25" fillId="0" borderId="0" xfId="1" applyNumberFormat="1" applyFont="1" applyFill="1" applyAlignment="1">
      <alignment horizontal="center"/>
    </xf>
    <xf numFmtId="40" fontId="25" fillId="5" borderId="0" xfId="1" applyNumberFormat="1" applyFont="1" applyFill="1" applyAlignment="1">
      <alignment horizontal="center"/>
    </xf>
    <xf numFmtId="40" fontId="25" fillId="5" borderId="0" xfId="0" applyNumberFormat="1" applyFont="1" applyFill="1" applyAlignment="1">
      <alignment horizontal="center"/>
    </xf>
    <xf numFmtId="40" fontId="25" fillId="5" borderId="0" xfId="0" applyNumberFormat="1" applyFont="1" applyFill="1" applyBorder="1" applyAlignment="1">
      <alignment horizontal="center"/>
    </xf>
    <xf numFmtId="0" fontId="25" fillId="0" borderId="0" xfId="0" applyFont="1" applyFill="1" applyBorder="1"/>
    <xf numFmtId="49" fontId="26" fillId="0" borderId="0" xfId="1" applyNumberFormat="1" applyFont="1" applyFill="1" applyAlignment="1">
      <alignment horizontal="center"/>
    </xf>
    <xf numFmtId="9" fontId="25" fillId="0" borderId="0" xfId="7" applyFont="1" applyFill="1"/>
    <xf numFmtId="9" fontId="25" fillId="0" borderId="0" xfId="7" quotePrefix="1" applyFont="1" applyFill="1" applyAlignment="1">
      <alignment horizontal="left"/>
    </xf>
    <xf numFmtId="0" fontId="26" fillId="0" borderId="0" xfId="0" applyFont="1" applyFill="1"/>
    <xf numFmtId="10" fontId="13" fillId="0" borderId="0" xfId="7" applyNumberFormat="1" applyFont="1" applyFill="1" applyBorder="1"/>
    <xf numFmtId="9" fontId="25" fillId="8" borderId="0" xfId="7" applyFont="1" applyFill="1" applyBorder="1"/>
    <xf numFmtId="10" fontId="25" fillId="0" borderId="0" xfId="1" applyNumberFormat="1" applyFont="1" applyFill="1" applyBorder="1" applyAlignment="1">
      <alignment horizontal="center"/>
    </xf>
    <xf numFmtId="10" fontId="25" fillId="5" borderId="0" xfId="7" applyNumberFormat="1" applyFont="1" applyFill="1" applyBorder="1" applyAlignment="1">
      <alignment horizontal="center"/>
    </xf>
    <xf numFmtId="9" fontId="25" fillId="5" borderId="0" xfId="7" applyFont="1" applyFill="1" applyAlignment="1">
      <alignment horizontal="center"/>
    </xf>
    <xf numFmtId="0" fontId="1" fillId="0" borderId="0" xfId="0" applyFont="1" applyFill="1" applyBorder="1" applyAlignment="1">
      <alignment horizontal="center" wrapText="1"/>
    </xf>
    <xf numFmtId="10" fontId="0" fillId="10" borderId="0" xfId="7" applyNumberFormat="1" applyFont="1" applyFill="1"/>
    <xf numFmtId="0" fontId="3" fillId="9" borderId="0" xfId="7" applyNumberFormat="1" applyFont="1" applyFill="1" applyBorder="1"/>
    <xf numFmtId="0" fontId="3" fillId="9" borderId="0" xfId="7" applyNumberFormat="1" applyFont="1" applyFill="1"/>
    <xf numFmtId="0" fontId="2" fillId="18" borderId="0" xfId="0" applyFont="1" applyFill="1" applyAlignment="1">
      <alignment horizontal="center"/>
    </xf>
    <xf numFmtId="179" fontId="1" fillId="0" borderId="0" xfId="7" applyNumberFormat="1" applyFill="1"/>
    <xf numFmtId="49" fontId="4" fillId="8" borderId="0" xfId="1" applyNumberFormat="1" applyFont="1" applyFill="1" applyAlignment="1">
      <alignment horizontal="center"/>
    </xf>
    <xf numFmtId="9" fontId="3" fillId="8" borderId="0" xfId="7" applyFont="1" applyFill="1"/>
    <xf numFmtId="9" fontId="3" fillId="8" borderId="0" xfId="7" quotePrefix="1" applyFont="1" applyFill="1" applyAlignment="1">
      <alignment horizontal="left"/>
    </xf>
    <xf numFmtId="10" fontId="3" fillId="8" borderId="1" xfId="1" applyNumberFormat="1" applyFont="1" applyFill="1" applyBorder="1"/>
    <xf numFmtId="10" fontId="6" fillId="8" borderId="0" xfId="7" applyNumberFormat="1" applyFont="1" applyFill="1"/>
    <xf numFmtId="10" fontId="13" fillId="8" borderId="0" xfId="7" applyNumberFormat="1" applyFont="1" applyFill="1" applyBorder="1"/>
    <xf numFmtId="9" fontId="25" fillId="8" borderId="0" xfId="7" applyFont="1" applyFill="1"/>
    <xf numFmtId="0" fontId="2" fillId="13" borderId="15" xfId="0" applyFont="1" applyFill="1" applyBorder="1" applyAlignment="1">
      <alignment horizontal="center"/>
    </xf>
    <xf numFmtId="10" fontId="25" fillId="8" borderId="0" xfId="7" applyNumberFormat="1" applyFont="1" applyFill="1" applyBorder="1"/>
    <xf numFmtId="10" fontId="1" fillId="10" borderId="0" xfId="0" applyNumberFormat="1" applyFont="1" applyFill="1"/>
    <xf numFmtId="0" fontId="12" fillId="10" borderId="0" xfId="0" applyFont="1" applyFill="1" applyAlignment="1">
      <alignment wrapText="1"/>
    </xf>
    <xf numFmtId="0" fontId="2" fillId="13" borderId="0" xfId="0" applyFont="1" applyFill="1"/>
    <xf numFmtId="164" fontId="2" fillId="13" borderId="1" xfId="1" applyNumberFormat="1" applyFont="1" applyFill="1" applyBorder="1"/>
    <xf numFmtId="164" fontId="2" fillId="13" borderId="14" xfId="1" applyNumberFormat="1" applyFont="1" applyFill="1" applyBorder="1"/>
    <xf numFmtId="0" fontId="3" fillId="13" borderId="0" xfId="0" applyFont="1" applyFill="1" applyBorder="1" applyAlignment="1">
      <alignment horizontal="centerContinuous"/>
    </xf>
    <xf numFmtId="0" fontId="3" fillId="19" borderId="0" xfId="0" applyFont="1" applyFill="1" applyBorder="1" applyAlignment="1">
      <alignment horizontal="centerContinuous"/>
    </xf>
    <xf numFmtId="0" fontId="2" fillId="13" borderId="0" xfId="0" applyFont="1" applyFill="1" applyAlignment="1">
      <alignment horizontal="left"/>
    </xf>
    <xf numFmtId="0" fontId="2" fillId="19" borderId="0" xfId="0" applyFont="1" applyFill="1" applyAlignment="1">
      <alignment horizontal="left"/>
    </xf>
    <xf numFmtId="164" fontId="2" fillId="19" borderId="1" xfId="1" applyNumberFormat="1" applyFont="1" applyFill="1" applyBorder="1"/>
    <xf numFmtId="37" fontId="1" fillId="13" borderId="0" xfId="1" applyNumberFormat="1" applyFill="1"/>
    <xf numFmtId="0" fontId="3" fillId="1" borderId="0" xfId="0" applyFont="1" applyFill="1" applyAlignment="1">
      <alignment horizontal="centerContinuous"/>
    </xf>
    <xf numFmtId="0" fontId="2" fillId="1" borderId="0" xfId="0" applyFont="1" applyFill="1" applyAlignment="1"/>
    <xf numFmtId="0" fontId="2" fillId="1" borderId="0" xfId="0" applyFont="1" applyFill="1" applyAlignment="1">
      <alignment horizontal="center"/>
    </xf>
    <xf numFmtId="0" fontId="2" fillId="1" borderId="1" xfId="0" applyFont="1" applyFill="1" applyBorder="1" applyAlignment="1">
      <alignment horizontal="center" wrapText="1"/>
    </xf>
    <xf numFmtId="0" fontId="2" fillId="1" borderId="0" xfId="0" applyFont="1" applyFill="1"/>
    <xf numFmtId="164" fontId="2" fillId="20" borderId="1" xfId="1" applyNumberFormat="1" applyFont="1" applyFill="1" applyBorder="1"/>
    <xf numFmtId="164" fontId="8" fillId="1" borderId="0" xfId="1" applyNumberFormat="1" applyFont="1" applyFill="1" applyBorder="1"/>
    <xf numFmtId="10" fontId="3" fillId="1" borderId="1" xfId="7" applyNumberFormat="1" applyFont="1" applyFill="1" applyBorder="1"/>
    <xf numFmtId="10" fontId="3" fillId="1" borderId="0" xfId="7" applyNumberFormat="1" applyFont="1" applyFill="1" applyBorder="1"/>
    <xf numFmtId="10" fontId="16" fillId="21" borderId="1" xfId="7" applyNumberFormat="1" applyFont="1" applyFill="1" applyBorder="1"/>
    <xf numFmtId="0" fontId="3" fillId="22" borderId="0" xfId="7" applyNumberFormat="1" applyFont="1" applyFill="1" applyBorder="1"/>
    <xf numFmtId="9" fontId="25" fillId="21" borderId="0" xfId="7" applyFont="1" applyFill="1" applyBorder="1"/>
    <xf numFmtId="0" fontId="25" fillId="21" borderId="0" xfId="0" applyFont="1" applyFill="1" applyAlignment="1">
      <alignment horizontal="center"/>
    </xf>
    <xf numFmtId="10" fontId="6" fillId="1" borderId="0" xfId="7" applyNumberFormat="1" applyFont="1" applyFill="1" applyBorder="1"/>
    <xf numFmtId="40" fontId="2" fillId="1" borderId="0" xfId="0" applyNumberFormat="1" applyFont="1" applyFill="1"/>
    <xf numFmtId="40" fontId="6" fillId="1" borderId="0" xfId="0" applyNumberFormat="1" applyFont="1" applyFill="1"/>
    <xf numFmtId="0" fontId="25" fillId="1" borderId="0" xfId="0" applyFont="1" applyFill="1"/>
    <xf numFmtId="0" fontId="2" fillId="1" borderId="0" xfId="0" applyFont="1" applyFill="1" applyBorder="1" applyAlignment="1">
      <alignment horizontal="center" wrapText="1"/>
    </xf>
    <xf numFmtId="0" fontId="2" fillId="1" borderId="0" xfId="0" applyFont="1" applyFill="1" applyBorder="1"/>
    <xf numFmtId="164" fontId="2" fillId="1" borderId="0" xfId="1" applyNumberFormat="1" applyFont="1" applyFill="1" applyBorder="1"/>
    <xf numFmtId="164" fontId="5" fillId="1" borderId="0" xfId="1" applyNumberFormat="1" applyFont="1" applyFill="1" applyBorder="1"/>
    <xf numFmtId="10" fontId="16" fillId="1" borderId="0" xfId="7" applyNumberFormat="1" applyFont="1" applyFill="1" applyBorder="1"/>
    <xf numFmtId="164" fontId="2" fillId="20" borderId="14" xfId="1" applyNumberFormat="1" applyFont="1" applyFill="1" applyBorder="1"/>
    <xf numFmtId="0" fontId="2" fillId="1" borderId="0" xfId="0" applyFont="1" applyFill="1" applyAlignment="1">
      <alignment horizontal="centerContinuous"/>
    </xf>
    <xf numFmtId="0" fontId="2" fillId="23" borderId="0" xfId="0" applyFont="1" applyFill="1" applyAlignment="1">
      <alignment horizontal="center"/>
    </xf>
    <xf numFmtId="0" fontId="0" fillId="1" borderId="0" xfId="0" applyFill="1"/>
    <xf numFmtId="164" fontId="2" fillId="24" borderId="1" xfId="1" applyNumberFormat="1" applyFont="1" applyFill="1" applyBorder="1"/>
    <xf numFmtId="0" fontId="3" fillId="22" borderId="0" xfId="7" applyNumberFormat="1" applyFont="1" applyFill="1"/>
    <xf numFmtId="9" fontId="25" fillId="21" borderId="0" xfId="7" applyFont="1" applyFill="1"/>
    <xf numFmtId="9" fontId="3" fillId="1" borderId="0" xfId="7" applyFont="1" applyFill="1"/>
    <xf numFmtId="0" fontId="2" fillId="1" borderId="0" xfId="0" applyFont="1" applyFill="1" applyBorder="1" applyAlignment="1">
      <alignment horizontal="center"/>
    </xf>
    <xf numFmtId="0" fontId="2" fillId="1" borderId="0" xfId="1" applyNumberFormat="1" applyFont="1" applyFill="1" applyBorder="1"/>
    <xf numFmtId="9" fontId="3" fillId="1" borderId="0" xfId="7" applyFont="1" applyFill="1" applyBorder="1"/>
    <xf numFmtId="0" fontId="2" fillId="1" borderId="0" xfId="1" applyNumberFormat="1" applyFont="1" applyFill="1"/>
    <xf numFmtId="0" fontId="15" fillId="0" borderId="0" xfId="0" applyFont="1" applyFill="1" applyAlignment="1">
      <alignment horizontal="center"/>
    </xf>
    <xf numFmtId="0" fontId="15" fillId="0" borderId="0" xfId="0" quotePrefix="1" applyFont="1" applyFill="1" applyAlignment="1">
      <alignment horizontal="center"/>
    </xf>
    <xf numFmtId="0" fontId="12" fillId="0" borderId="0" xfId="0" applyFont="1" applyFill="1" applyAlignment="1"/>
    <xf numFmtId="10" fontId="0" fillId="0" borderId="0" xfId="7" applyNumberFormat="1" applyFont="1" applyFill="1"/>
  </cellXfs>
  <cellStyles count="18">
    <cellStyle name="Comma" xfId="1" builtinId="3"/>
    <cellStyle name="Comma 2" xfId="2"/>
    <cellStyle name="Comma 3" xfId="3"/>
    <cellStyle name="Comma 4" xfId="11"/>
    <cellStyle name="Normal" xfId="0" builtinId="0"/>
    <cellStyle name="Normal 2" xfId="4"/>
    <cellStyle name="Normal 3" xfId="5"/>
    <cellStyle name="Normal 4" xfId="8"/>
    <cellStyle name="Normal 5" xfId="10"/>
    <cellStyle name="Normal_Colorado-Kansas" xfId="12"/>
    <cellStyle name="Normal_LA" xfId="14"/>
    <cellStyle name="Normal_Sheet1 2" xfId="9"/>
    <cellStyle name="Normal_Sheet3 2" xfId="15"/>
    <cellStyle name="Normal_Sheet5 2" xfId="17"/>
    <cellStyle name="Normal_Sheet6 2" xfId="16"/>
    <cellStyle name="Normal_WTX" xfId="13"/>
    <cellStyle name="Output Amounts" xfId="6"/>
    <cellStyle name="Percent" xfId="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19</xdr:col>
      <xdr:colOff>608077</xdr:colOff>
      <xdr:row>58</xdr:row>
      <xdr:rowOff>55970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12190477" cy="94476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fw1wn18\SHSR_WORKGROUPS\Extra%20files%20for%20calculating%20allocation%20basis%20for%20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eneral%20Ledger%20Accounting\Amanda\COMPOSITE%20CALCULATION\2015\Copy%20of%20FY15%20Composite%20calc_1109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btayl12a\AppData\Local\Microsoft\Windows\INetCache\Content.Outlook\777X71R9\Backup\Customers\Copy%20of%20Customer%20Count_FY%2016_for%20GenAcct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CG"/>
      <sheetName val="Short Summary"/>
    </sheetNames>
    <sheetDataSet>
      <sheetData sheetId="0"/>
      <sheetData sheetId="1" refreshError="1">
        <row r="7">
          <cell r="C7" t="str">
            <v>0050000</v>
          </cell>
          <cell r="D7" t="str">
            <v xml:space="preserve">Chairman </v>
          </cell>
          <cell r="E7" t="str">
            <v>Residual</v>
          </cell>
        </row>
        <row r="8">
          <cell r="C8" t="str">
            <v>0052200</v>
          </cell>
          <cell r="D8" t="str">
            <v>Governmental Affairs</v>
          </cell>
          <cell r="E8" t="str">
            <v>Residual</v>
          </cell>
        </row>
        <row r="9">
          <cell r="C9" t="str">
            <v>0052100</v>
          </cell>
          <cell r="D9" t="str">
            <v>Operations</v>
          </cell>
          <cell r="E9" t="str">
            <v>Cust, Capital Adds, Employees, O&amp;M</v>
          </cell>
        </row>
        <row r="10">
          <cell r="C10" t="str">
            <v>0050500</v>
          </cell>
          <cell r="D10" t="str">
            <v>President &amp; COO</v>
          </cell>
          <cell r="E10" t="str">
            <v>Residual</v>
          </cell>
        </row>
        <row r="11">
          <cell r="C11" t="str">
            <v>0113000</v>
          </cell>
          <cell r="D11" t="str">
            <v>Assistant Controller General Acctg</v>
          </cell>
          <cell r="E11" t="str">
            <v>Avg WLC #108,109,110,&amp;111</v>
          </cell>
        </row>
        <row r="12">
          <cell r="C12" t="str">
            <v>0112900</v>
          </cell>
          <cell r="D12" t="str">
            <v>VP &amp; Controller</v>
          </cell>
          <cell r="E12" t="str">
            <v>Avg all Accounting WLC's</v>
          </cell>
        </row>
        <row r="13">
          <cell r="C13" t="str">
            <v>0113500</v>
          </cell>
          <cell r="D13" t="str">
            <v>Assistant Controller, Utility Acctg</v>
          </cell>
          <cell r="E13" t="str">
            <v>50% Cust, 17% Gas Purch Vol, 33% Cap Adds</v>
          </cell>
        </row>
        <row r="14">
          <cell r="C14" t="str">
            <v>0113100</v>
          </cell>
          <cell r="D14" t="str">
            <v>General Accounting</v>
          </cell>
          <cell r="E14" t="str">
            <v>Residual</v>
          </cell>
        </row>
        <row r="15">
          <cell r="C15" t="str">
            <v>0113200</v>
          </cell>
          <cell r="D15" t="str">
            <v>Payroll Accounting</v>
          </cell>
          <cell r="E15" t="str">
            <v>Employees</v>
          </cell>
        </row>
        <row r="16">
          <cell r="C16" t="str">
            <v>0113300</v>
          </cell>
          <cell r="D16" t="str">
            <v>Accounts Payable</v>
          </cell>
          <cell r="E16" t="str">
            <v>Purchase Orders</v>
          </cell>
        </row>
        <row r="17">
          <cell r="C17" t="str">
            <v>0113400</v>
          </cell>
          <cell r="D17" t="str">
            <v>Accounting Systems</v>
          </cell>
          <cell r="E17" t="str">
            <v>Employees</v>
          </cell>
        </row>
        <row r="18">
          <cell r="C18" t="str">
            <v>0113600</v>
          </cell>
          <cell r="D18" t="str">
            <v>Plant Accounting</v>
          </cell>
          <cell r="E18" t="str">
            <v>Capital Additions</v>
          </cell>
        </row>
        <row r="19">
          <cell r="C19" t="str">
            <v>0113700</v>
          </cell>
          <cell r="D19" t="str">
            <v>Gas Accounting</v>
          </cell>
          <cell r="E19" t="str">
            <v>%'s provided by department</v>
          </cell>
        </row>
        <row r="20">
          <cell r="C20" t="str">
            <v>0113800</v>
          </cell>
          <cell r="D20" t="str">
            <v>Customer Billing</v>
          </cell>
          <cell r="E20" t="str">
            <v>%'s provided by department</v>
          </cell>
        </row>
        <row r="21">
          <cell r="C21" t="str">
            <v>0113900</v>
          </cell>
          <cell r="D21" t="str">
            <v>Financial Reporting</v>
          </cell>
          <cell r="E21" t="str">
            <v>Residual</v>
          </cell>
        </row>
        <row r="22">
          <cell r="C22" t="str">
            <v>0052000</v>
          </cell>
          <cell r="D22" t="str">
            <v>Legal</v>
          </cell>
          <cell r="E22" t="str">
            <v>Residual</v>
          </cell>
        </row>
        <row r="23">
          <cell r="C23" t="str">
            <v>0057900</v>
          </cell>
          <cell r="D23" t="str">
            <v>Corporate Secretary</v>
          </cell>
          <cell r="E23" t="str">
            <v>Residual</v>
          </cell>
        </row>
        <row r="24">
          <cell r="C24" t="str">
            <v>0052500</v>
          </cell>
          <cell r="D24" t="str">
            <v>Utility Services</v>
          </cell>
          <cell r="E24" t="str">
            <v>Customers,Gross Plant, &amp; Employees</v>
          </cell>
        </row>
        <row r="25">
          <cell r="C25" t="str">
            <v>0054000</v>
          </cell>
          <cell r="D25" t="str">
            <v>Rates &amp; Regulatory Affairs</v>
          </cell>
          <cell r="E25" t="str">
            <v>%'s provided by department</v>
          </cell>
        </row>
        <row r="26">
          <cell r="C26" t="str">
            <v>0051600</v>
          </cell>
          <cell r="D26" t="str">
            <v>Intrastate Gas Supply</v>
          </cell>
          <cell r="E26" t="str">
            <v>%'s provided by department</v>
          </cell>
        </row>
        <row r="27">
          <cell r="C27" t="str">
            <v>0114300</v>
          </cell>
          <cell r="D27" t="str">
            <v>Budget &amp; Planning</v>
          </cell>
          <cell r="E27" t="str">
            <v>Residual</v>
          </cell>
        </row>
        <row r="28">
          <cell r="C28" t="str">
            <v>0054400</v>
          </cell>
          <cell r="D28" t="str">
            <v>Financial Planning</v>
          </cell>
          <cell r="E28" t="str">
            <v>Residual</v>
          </cell>
        </row>
        <row r="29">
          <cell r="C29" t="str">
            <v>0052400</v>
          </cell>
          <cell r="D29" t="str">
            <v>Public Affairs</v>
          </cell>
          <cell r="E29" t="str">
            <v>Residual</v>
          </cell>
        </row>
        <row r="30">
          <cell r="C30" t="str">
            <v>0054700</v>
          </cell>
          <cell r="D30" t="str">
            <v>Chief Financial Officer</v>
          </cell>
          <cell r="E30" t="str">
            <v>Residual</v>
          </cell>
        </row>
        <row r="31">
          <cell r="C31" t="str">
            <v>0114800</v>
          </cell>
          <cell r="D31" t="str">
            <v>Dallas Treasurer</v>
          </cell>
          <cell r="E31" t="str">
            <v>Residual</v>
          </cell>
        </row>
        <row r="32">
          <cell r="C32" t="str">
            <v>0054900</v>
          </cell>
          <cell r="D32" t="str">
            <v>Investor Relations</v>
          </cell>
          <cell r="E32" t="str">
            <v>Residual</v>
          </cell>
        </row>
        <row r="33">
          <cell r="C33" t="str">
            <v>0114600</v>
          </cell>
          <cell r="D33" t="str">
            <v>Dallas Taxation</v>
          </cell>
          <cell r="E33" t="str">
            <v>Residual</v>
          </cell>
        </row>
        <row r="34">
          <cell r="C34" t="str">
            <v>0114500</v>
          </cell>
          <cell r="D34" t="str">
            <v>Dallas Treasury</v>
          </cell>
          <cell r="E34" t="str">
            <v>Customers &amp; Gas Purchase Volumes</v>
          </cell>
        </row>
        <row r="35">
          <cell r="C35" t="str">
            <v>0056000</v>
          </cell>
          <cell r="D35" t="str">
            <v>Marketing</v>
          </cell>
          <cell r="E35" t="str">
            <v>Resident./Comm. Cust's</v>
          </cell>
        </row>
        <row r="36">
          <cell r="C36" t="str">
            <v>0056200</v>
          </cell>
          <cell r="D36" t="str">
            <v>Technical Services</v>
          </cell>
          <cell r="E36" t="str">
            <v>Capital Additions and O&amp;M Expenses</v>
          </cell>
        </row>
        <row r="37">
          <cell r="C37" t="str">
            <v>0116400</v>
          </cell>
          <cell r="D37" t="str">
            <v>Internal Audit</v>
          </cell>
          <cell r="E37" t="str">
            <v>Residual</v>
          </cell>
        </row>
        <row r="38">
          <cell r="C38" t="str">
            <v>0051900</v>
          </cell>
          <cell r="D38" t="str">
            <v>Gas Supply</v>
          </cell>
          <cell r="E38" t="str">
            <v>%'s provided by department</v>
          </cell>
        </row>
        <row r="39">
          <cell r="C39" t="str">
            <v>0051500</v>
          </cell>
          <cell r="D39" t="str">
            <v>Interstate Gas Supply</v>
          </cell>
          <cell r="E39" t="str">
            <v>%'s provided by department</v>
          </cell>
        </row>
        <row r="40">
          <cell r="C40" t="str">
            <v>0056100</v>
          </cell>
          <cell r="D40" t="str">
            <v>Professional Development</v>
          </cell>
          <cell r="E40" t="str">
            <v>Capital Additions and O&amp;M Expenses</v>
          </cell>
        </row>
        <row r="41">
          <cell r="C41" t="str">
            <v>0117100</v>
          </cell>
          <cell r="D41" t="str">
            <v>Corporate Services</v>
          </cell>
          <cell r="E41" t="str">
            <v>Residual</v>
          </cell>
        </row>
        <row r="42">
          <cell r="C42" t="str">
            <v>0117200</v>
          </cell>
          <cell r="D42" t="str">
            <v>Compensation &amp; Employment</v>
          </cell>
          <cell r="E42" t="str">
            <v>Employees</v>
          </cell>
        </row>
        <row r="43">
          <cell r="C43" t="str">
            <v>0117300</v>
          </cell>
          <cell r="D43" t="str">
            <v>Human Resources</v>
          </cell>
          <cell r="E43" t="str">
            <v>Employees</v>
          </cell>
        </row>
        <row r="44">
          <cell r="C44" t="str">
            <v>0117500</v>
          </cell>
          <cell r="D44" t="str">
            <v>Employee Benefits</v>
          </cell>
          <cell r="E44" t="str">
            <v>Employees</v>
          </cell>
        </row>
        <row r="45">
          <cell r="C45" t="str">
            <v>0117600</v>
          </cell>
          <cell r="D45" t="str">
            <v>Purchasing</v>
          </cell>
          <cell r="E45" t="str">
            <v>Purchase Orders</v>
          </cell>
        </row>
        <row r="46">
          <cell r="C46" t="str">
            <v>0117700</v>
          </cell>
          <cell r="D46" t="str">
            <v>Corp. &amp; Employee Communications</v>
          </cell>
          <cell r="E46" t="str">
            <v>Customers &amp; Employees</v>
          </cell>
        </row>
        <row r="47">
          <cell r="C47" t="str">
            <v>0115000</v>
          </cell>
          <cell r="D47" t="str">
            <v>Information Services</v>
          </cell>
          <cell r="E47" t="str">
            <v>Avg of all IS Departments (Customers)</v>
          </cell>
        </row>
        <row r="48">
          <cell r="C48" t="str">
            <v>0118000</v>
          </cell>
          <cell r="D48" t="str">
            <v>Remittance Processing</v>
          </cell>
          <cell r="E48" t="str">
            <v>Customers</v>
          </cell>
        </row>
        <row r="49">
          <cell r="C49" t="str">
            <v>0118100</v>
          </cell>
          <cell r="D49" t="str">
            <v>Employee Development</v>
          </cell>
          <cell r="E49" t="str">
            <v>Employees</v>
          </cell>
        </row>
        <row r="50">
          <cell r="C50" t="str">
            <v>0118200</v>
          </cell>
          <cell r="D50" t="str">
            <v>Central Records</v>
          </cell>
          <cell r="E50" t="str">
            <v>Customers</v>
          </cell>
        </row>
        <row r="51">
          <cell r="C51" t="str">
            <v>0118300</v>
          </cell>
          <cell r="D51" t="str">
            <v>Stores</v>
          </cell>
          <cell r="E51" t="str">
            <v>None</v>
          </cell>
        </row>
        <row r="52">
          <cell r="C52" t="str">
            <v>0115600</v>
          </cell>
          <cell r="D52" t="str">
            <v>Telecommunication Services</v>
          </cell>
          <cell r="E52" t="str">
            <v>Customers</v>
          </cell>
        </row>
        <row r="53">
          <cell r="C53" t="str">
            <v>0115400</v>
          </cell>
          <cell r="D53" t="str">
            <v>Information Support</v>
          </cell>
          <cell r="E53" t="str">
            <v>Customers</v>
          </cell>
        </row>
        <row r="54">
          <cell r="C54" t="str">
            <v>0115300</v>
          </cell>
          <cell r="D54" t="str">
            <v>Development Services</v>
          </cell>
          <cell r="E54" t="str">
            <v>Customers</v>
          </cell>
        </row>
        <row r="55">
          <cell r="C55" t="str">
            <v>0115100</v>
          </cell>
          <cell r="D55" t="str">
            <v>Production Services</v>
          </cell>
          <cell r="E55" t="str">
            <v>Customers</v>
          </cell>
        </row>
        <row r="56">
          <cell r="C56" t="str">
            <v>0118600</v>
          </cell>
          <cell r="D56" t="str">
            <v>Purchasing &amp; Stores</v>
          </cell>
          <cell r="E56" t="str">
            <v>Purchase Orders &amp; Residual</v>
          </cell>
        </row>
        <row r="57">
          <cell r="C57" t="str">
            <v>0118500</v>
          </cell>
          <cell r="D57" t="str">
            <v>Mail &amp; Supply</v>
          </cell>
          <cell r="E57" t="str">
            <v>Employees</v>
          </cell>
        </row>
        <row r="58">
          <cell r="C58" t="str">
            <v>0115500</v>
          </cell>
          <cell r="D58" t="str">
            <v>Office Systems</v>
          </cell>
          <cell r="E58" t="str">
            <v>Customers</v>
          </cell>
        </row>
        <row r="59">
          <cell r="C59" t="str">
            <v>0119000</v>
          </cell>
          <cell r="D59" t="str">
            <v>Employee Relocation Expense</v>
          </cell>
          <cell r="E59" t="str">
            <v>Residual for 02/Direct for others</v>
          </cell>
        </row>
        <row r="60">
          <cell r="C60" t="str">
            <v>0119200</v>
          </cell>
          <cell r="D60" t="str">
            <v>Controller Miscellaneous</v>
          </cell>
          <cell r="E60" t="str">
            <v>Residual</v>
          </cell>
        </row>
        <row r="61">
          <cell r="C61" t="str">
            <v>0119600</v>
          </cell>
          <cell r="D61" t="str">
            <v>Retirement Cost</v>
          </cell>
          <cell r="E61" t="str">
            <v>Residual</v>
          </cell>
        </row>
        <row r="62">
          <cell r="C62" t="str">
            <v>0119210</v>
          </cell>
          <cell r="D62" t="str">
            <v>Performance Plan</v>
          </cell>
          <cell r="E62" t="str">
            <v>Residual</v>
          </cell>
        </row>
        <row r="63">
          <cell r="C63" t="str">
            <v>0119800</v>
          </cell>
          <cell r="D63" t="str">
            <v>A&amp;G O/H Capitl'd (Div 02)</v>
          </cell>
          <cell r="E63" t="str">
            <v>Residual</v>
          </cell>
        </row>
        <row r="64">
          <cell r="C64" t="str">
            <v>0119800</v>
          </cell>
          <cell r="D64" t="str">
            <v>A&amp;G O/H Capitalized</v>
          </cell>
          <cell r="E64" t="str">
            <v>% of Capital Expenditures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site FY15FINAL"/>
      <sheetName val="Composite FY13FINAL-old"/>
      <sheetName val="Composite FY13 w Impairment"/>
      <sheetName val="Composite FY13"/>
      <sheetName val="Mid States FY15"/>
      <sheetName val="CO KS FY15"/>
      <sheetName val="COdiv 2015"/>
      <sheetName val="West Texas FY15"/>
      <sheetName val="Div 002 Rates"/>
      <sheetName val="Div 012 Rates"/>
      <sheetName val="Sum customer count"/>
      <sheetName val="Summary customer count 2013-old"/>
      <sheetName val="Summary LA"/>
      <sheetName val="Summary WTX"/>
      <sheetName val="Summary Kentucky-Midstates"/>
      <sheetName val="Summary CO-KS"/>
      <sheetName val="Summary MS"/>
      <sheetName val="Summary Mid Tex"/>
      <sheetName val="Summary AtmosPipeline"/>
      <sheetName val="COKS"/>
      <sheetName val="KY, MdSt"/>
      <sheetName val="Liberty"/>
      <sheetName val="Liberty (2)"/>
    </sheetNames>
    <sheetDataSet>
      <sheetData sheetId="0">
        <row r="15">
          <cell r="I15">
            <v>6.910000000000005E-2</v>
          </cell>
          <cell r="K15">
            <v>6.13E-2</v>
          </cell>
          <cell r="M15">
            <v>2.3099999999999999E-2</v>
          </cell>
          <cell r="O15">
            <v>6.2399999999999997E-2</v>
          </cell>
          <cell r="Q15">
            <v>0.111</v>
          </cell>
          <cell r="S15">
            <v>5.8000000000000003E-2</v>
          </cell>
          <cell r="U15">
            <v>0.39789999999999998</v>
          </cell>
          <cell r="W15">
            <v>0.20610000000000001</v>
          </cell>
          <cell r="Y15">
            <v>4.1999999999999997E-3</v>
          </cell>
          <cell r="AA15">
            <v>1E-3</v>
          </cell>
          <cell r="AC15">
            <v>1.6999999999999999E-3</v>
          </cell>
          <cell r="AE15">
            <v>2.8999999999999998E-3</v>
          </cell>
          <cell r="AG15">
            <v>1.2999999999999999E-3</v>
          </cell>
          <cell r="AI15">
            <v>0</v>
          </cell>
          <cell r="AK15">
            <v>0</v>
          </cell>
          <cell r="AM15">
            <v>8.0000000000000004E-4</v>
          </cell>
          <cell r="AO15">
            <v>4.0000000000000002E-4</v>
          </cell>
          <cell r="AQ15">
            <v>0</v>
          </cell>
          <cell r="AS15">
            <v>0</v>
          </cell>
          <cell r="AU15">
            <v>0</v>
          </cell>
          <cell r="AW15">
            <v>0</v>
          </cell>
          <cell r="AY15">
            <v>0</v>
          </cell>
          <cell r="BB15">
            <v>1E-4</v>
          </cell>
          <cell r="BD15">
            <v>0</v>
          </cell>
          <cell r="BF15">
            <v>0</v>
          </cell>
        </row>
        <row r="16">
          <cell r="I16">
            <v>9.7899999999999987E-2</v>
          </cell>
          <cell r="K16">
            <v>7.9399999999999998E-2</v>
          </cell>
          <cell r="M16">
            <v>2.4400000000000002E-2</v>
          </cell>
          <cell r="O16">
            <v>8.8900000000000007E-2</v>
          </cell>
          <cell r="Q16">
            <v>0.1086</v>
          </cell>
          <cell r="S16">
            <v>8.1699999999999995E-2</v>
          </cell>
          <cell r="U16">
            <v>0.51870000000000005</v>
          </cell>
          <cell r="W16">
            <v>1E-4</v>
          </cell>
          <cell r="Y16">
            <v>2.9999999999999997E-4</v>
          </cell>
          <cell r="AA16">
            <v>0</v>
          </cell>
          <cell r="AC16">
            <v>0</v>
          </cell>
          <cell r="AE16">
            <v>0</v>
          </cell>
          <cell r="AG16">
            <v>0</v>
          </cell>
          <cell r="AI16">
            <v>0</v>
          </cell>
          <cell r="AK16">
            <v>0</v>
          </cell>
          <cell r="AM16">
            <v>0</v>
          </cell>
          <cell r="AO16">
            <v>0</v>
          </cell>
          <cell r="AQ16">
            <v>0</v>
          </cell>
          <cell r="AS16">
            <v>0</v>
          </cell>
          <cell r="AU16">
            <v>0</v>
          </cell>
          <cell r="AW16">
            <v>0</v>
          </cell>
          <cell r="AY16">
            <v>0</v>
          </cell>
          <cell r="BB16">
            <v>0</v>
          </cell>
          <cell r="BD16">
            <v>0</v>
          </cell>
          <cell r="BF16">
            <v>0</v>
          </cell>
        </row>
        <row r="17">
          <cell r="I17">
            <v>8.0500000000000238E-2</v>
          </cell>
          <cell r="K17">
            <v>6.6799999999999998E-2</v>
          </cell>
          <cell r="M17">
            <v>2.3400000000000001E-2</v>
          </cell>
          <cell r="O17">
            <v>6.0400000000000002E-2</v>
          </cell>
          <cell r="Q17">
            <v>0.1017</v>
          </cell>
          <cell r="S17">
            <v>8.9499999999999996E-2</v>
          </cell>
          <cell r="U17">
            <v>0.29389999999999999</v>
          </cell>
          <cell r="W17">
            <v>0.21829999999999999</v>
          </cell>
          <cell r="Y17">
            <v>6.4899999999999999E-2</v>
          </cell>
          <cell r="AA17">
            <v>1.4E-3</v>
          </cell>
          <cell r="AC17">
            <v>2E-3</v>
          </cell>
          <cell r="AE17">
            <v>3.0000000000000001E-3</v>
          </cell>
          <cell r="AG17">
            <v>-5.7999999999999996E-3</v>
          </cell>
          <cell r="AI17">
            <v>0</v>
          </cell>
          <cell r="AK17">
            <v>8.0000000000000004E-4</v>
          </cell>
          <cell r="AM17">
            <v>1E-4</v>
          </cell>
          <cell r="AO17">
            <v>-6.7999999999999996E-3</v>
          </cell>
          <cell r="AQ17">
            <v>0</v>
          </cell>
          <cell r="AS17">
            <v>0</v>
          </cell>
          <cell r="AU17">
            <v>0</v>
          </cell>
          <cell r="AW17">
            <v>1E-4</v>
          </cell>
          <cell r="AY17">
            <v>0</v>
          </cell>
          <cell r="BB17">
            <v>0</v>
          </cell>
          <cell r="BD17">
            <v>0</v>
          </cell>
          <cell r="BF17">
            <v>0</v>
          </cell>
        </row>
        <row r="19">
          <cell r="I19">
            <v>8.2500000000000018E-2</v>
          </cell>
          <cell r="K19">
            <v>6.9199999999999998E-2</v>
          </cell>
          <cell r="M19">
            <v>2.3599999999999999E-2</v>
          </cell>
          <cell r="O19">
            <v>7.0599999999999996E-2</v>
          </cell>
          <cell r="Q19">
            <v>0.1071</v>
          </cell>
          <cell r="S19">
            <v>7.6399999999999996E-2</v>
          </cell>
          <cell r="U19">
            <v>0.40350000000000003</v>
          </cell>
          <cell r="W19">
            <v>0.14149999999999999</v>
          </cell>
          <cell r="Y19">
            <v>2.3099999999999999E-2</v>
          </cell>
          <cell r="AA19">
            <v>8.0000000000000004E-4</v>
          </cell>
          <cell r="AC19">
            <v>1.1999999999999999E-3</v>
          </cell>
          <cell r="AE19">
            <v>2E-3</v>
          </cell>
          <cell r="AG19">
            <v>-1.5E-3</v>
          </cell>
          <cell r="AI19">
            <v>0</v>
          </cell>
          <cell r="AK19">
            <v>2.9999999999999997E-4</v>
          </cell>
          <cell r="AM19">
            <v>2.9999999999999997E-4</v>
          </cell>
          <cell r="AO19">
            <v>-2.0999999999999999E-3</v>
          </cell>
          <cell r="AQ19">
            <v>0</v>
          </cell>
          <cell r="AS19">
            <v>0</v>
          </cell>
          <cell r="AU19">
            <v>0</v>
          </cell>
          <cell r="AW19">
            <v>0</v>
          </cell>
          <cell r="AY19">
            <v>0</v>
          </cell>
          <cell r="BB19">
            <v>0</v>
          </cell>
          <cell r="BD19">
            <v>0</v>
          </cell>
          <cell r="BF19">
            <v>0</v>
          </cell>
        </row>
        <row r="30">
          <cell r="I30">
            <v>8.8200000000000056E-2</v>
          </cell>
          <cell r="K30">
            <v>7.8299999999999995E-2</v>
          </cell>
          <cell r="M30">
            <v>2.9499999999999998E-2</v>
          </cell>
          <cell r="O30">
            <v>7.9699999999999993E-2</v>
          </cell>
          <cell r="Q30">
            <v>0.1419</v>
          </cell>
          <cell r="S30">
            <v>7.4099999999999999E-2</v>
          </cell>
          <cell r="U30">
            <v>0.50829999999999997</v>
          </cell>
        </row>
        <row r="31">
          <cell r="I31">
            <v>9.7899999999999987E-2</v>
          </cell>
          <cell r="K31">
            <v>7.9399999999999998E-2</v>
          </cell>
          <cell r="M31">
            <v>2.4400000000000002E-2</v>
          </cell>
          <cell r="O31">
            <v>8.8999999999999996E-2</v>
          </cell>
          <cell r="Q31">
            <v>0.1087</v>
          </cell>
          <cell r="S31">
            <v>8.1699999999999995E-2</v>
          </cell>
          <cell r="U31">
            <v>0.51890000000000003</v>
          </cell>
        </row>
        <row r="32">
          <cell r="I32">
            <v>0.11230000000000007</v>
          </cell>
          <cell r="K32">
            <v>9.3299999999999994E-2</v>
          </cell>
          <cell r="M32">
            <v>3.27E-2</v>
          </cell>
          <cell r="O32">
            <v>8.4400000000000003E-2</v>
          </cell>
          <cell r="Q32">
            <v>0.14199999999999999</v>
          </cell>
          <cell r="S32">
            <v>0.1249</v>
          </cell>
          <cell r="U32">
            <v>0.41039999999999999</v>
          </cell>
        </row>
        <row r="34">
          <cell r="I34">
            <v>9.9299999999999944E-2</v>
          </cell>
          <cell r="K34">
            <v>8.3699999999999997E-2</v>
          </cell>
          <cell r="M34">
            <v>2.8899999999999999E-2</v>
          </cell>
          <cell r="O34">
            <v>8.4400000000000003E-2</v>
          </cell>
          <cell r="Q34">
            <v>0.13089999999999999</v>
          </cell>
          <cell r="S34">
            <v>9.3600000000000003E-2</v>
          </cell>
          <cell r="U34">
            <v>0.47920000000000001</v>
          </cell>
        </row>
        <row r="46">
          <cell r="I46">
            <v>6.9799999999999973E-2</v>
          </cell>
          <cell r="K46">
            <v>6.2E-2</v>
          </cell>
          <cell r="M46">
            <v>2.3300000000000001E-2</v>
          </cell>
          <cell r="O46">
            <v>6.3100000000000003E-2</v>
          </cell>
          <cell r="Q46">
            <v>0.1123</v>
          </cell>
          <cell r="S46">
            <v>5.8700000000000002E-2</v>
          </cell>
          <cell r="U46">
            <v>0.40239999999999998</v>
          </cell>
          <cell r="W46">
            <v>0.2084</v>
          </cell>
        </row>
        <row r="47">
          <cell r="I47">
            <v>9.7986714915785034E-2</v>
          </cell>
          <cell r="K47">
            <v>7.9399999999999998E-2</v>
          </cell>
          <cell r="M47">
            <v>2.4400000000000002E-2</v>
          </cell>
          <cell r="O47">
            <v>8.8900000000000007E-2</v>
          </cell>
          <cell r="Q47">
            <v>0.1087</v>
          </cell>
          <cell r="S47">
            <v>8.1699999999999995E-2</v>
          </cell>
          <cell r="U47">
            <v>0.51880000000000004</v>
          </cell>
          <cell r="W47">
            <v>1.1328508421497723E-4</v>
          </cell>
        </row>
        <row r="48">
          <cell r="I48">
            <v>8.6099999999999954E-2</v>
          </cell>
          <cell r="K48">
            <v>7.1499999999999994E-2</v>
          </cell>
          <cell r="M48">
            <v>2.5100000000000001E-2</v>
          </cell>
          <cell r="O48">
            <v>6.4699999999999994E-2</v>
          </cell>
          <cell r="Q48">
            <v>0.10879999999999999</v>
          </cell>
          <cell r="S48">
            <v>9.5699999999999993E-2</v>
          </cell>
          <cell r="U48">
            <v>0.3145</v>
          </cell>
          <cell r="W48">
            <v>0.2336</v>
          </cell>
        </row>
        <row r="50">
          <cell r="I50">
            <v>8.4600000000000009E-2</v>
          </cell>
          <cell r="K50">
            <v>7.0999999999999994E-2</v>
          </cell>
          <cell r="M50">
            <v>2.4299999999999999E-2</v>
          </cell>
          <cell r="O50">
            <v>7.22E-2</v>
          </cell>
          <cell r="Q50">
            <v>0.1099</v>
          </cell>
          <cell r="S50">
            <v>7.8700000000000006E-2</v>
          </cell>
          <cell r="U50">
            <v>0.41189999999999999</v>
          </cell>
          <cell r="W50">
            <v>0.1474</v>
          </cell>
        </row>
        <row r="61">
          <cell r="I61">
            <v>6.9599999999999995E-2</v>
          </cell>
          <cell r="K61">
            <v>6.1800000000000001E-2</v>
          </cell>
          <cell r="M61">
            <v>2.3300000000000001E-2</v>
          </cell>
          <cell r="O61">
            <v>6.2899999999999998E-2</v>
          </cell>
          <cell r="Q61">
            <v>0.112</v>
          </cell>
          <cell r="S61">
            <v>5.8500000000000003E-2</v>
          </cell>
          <cell r="U61">
            <v>0.4012</v>
          </cell>
          <cell r="W61">
            <v>0.20780000000000001</v>
          </cell>
          <cell r="AE61">
            <v>2.8999999999999998E-3</v>
          </cell>
        </row>
        <row r="62">
          <cell r="I62">
            <v>9.7999999999999976E-2</v>
          </cell>
          <cell r="K62">
            <v>7.9399999999999998E-2</v>
          </cell>
          <cell r="M62">
            <v>2.4400000000000002E-2</v>
          </cell>
          <cell r="O62">
            <v>8.8900000000000007E-2</v>
          </cell>
          <cell r="Q62">
            <v>0.1087</v>
          </cell>
          <cell r="S62">
            <v>8.1699999999999995E-2</v>
          </cell>
          <cell r="U62">
            <v>0.51880000000000004</v>
          </cell>
          <cell r="W62">
            <v>1E-4</v>
          </cell>
          <cell r="AE62">
            <v>0</v>
          </cell>
        </row>
        <row r="63">
          <cell r="I63">
            <v>8.5700000000000109E-2</v>
          </cell>
          <cell r="K63">
            <v>7.1300000000000002E-2</v>
          </cell>
          <cell r="M63">
            <v>2.5000000000000001E-2</v>
          </cell>
          <cell r="O63">
            <v>6.4500000000000002E-2</v>
          </cell>
          <cell r="Q63">
            <v>0.1085</v>
          </cell>
          <cell r="S63">
            <v>9.5399999999999999E-2</v>
          </cell>
          <cell r="U63">
            <v>0.3135</v>
          </cell>
          <cell r="W63">
            <v>0.2329</v>
          </cell>
          <cell r="AE63">
            <v>3.2000000000000002E-3</v>
          </cell>
        </row>
        <row r="65">
          <cell r="I65">
            <v>8.4600000000000009E-2</v>
          </cell>
          <cell r="K65">
            <v>7.0800000000000002E-2</v>
          </cell>
          <cell r="M65">
            <v>2.4199999999999999E-2</v>
          </cell>
          <cell r="O65">
            <v>7.2099999999999997E-2</v>
          </cell>
          <cell r="Q65">
            <v>0.10970000000000001</v>
          </cell>
          <cell r="S65">
            <v>7.85E-2</v>
          </cell>
          <cell r="U65">
            <v>0.41120000000000001</v>
          </cell>
          <cell r="W65">
            <v>0.1469</v>
          </cell>
          <cell r="AE65">
            <v>2E-3</v>
          </cell>
        </row>
        <row r="76">
          <cell r="I76">
            <v>0.36650000000000005</v>
          </cell>
          <cell r="K76">
            <v>0.32540000000000002</v>
          </cell>
          <cell r="S76">
            <v>0.30809999999999998</v>
          </cell>
        </row>
        <row r="77">
          <cell r="I77">
            <v>0.37780000000000002</v>
          </cell>
          <cell r="K77">
            <v>0.30659999999999998</v>
          </cell>
          <cell r="S77">
            <v>0.31559999999999999</v>
          </cell>
        </row>
        <row r="78">
          <cell r="I78">
            <v>0.33940000000000003</v>
          </cell>
          <cell r="K78">
            <v>0.28249999999999997</v>
          </cell>
          <cell r="S78">
            <v>0.37809999999999999</v>
          </cell>
        </row>
        <row r="80">
          <cell r="I80">
            <v>0.36129999999999995</v>
          </cell>
          <cell r="K80">
            <v>0.30480000000000002</v>
          </cell>
          <cell r="S80">
            <v>0.33389999999999997</v>
          </cell>
        </row>
        <row r="90">
          <cell r="I90">
            <v>0</v>
          </cell>
          <cell r="K90">
            <v>0</v>
          </cell>
          <cell r="M90">
            <v>0.27</v>
          </cell>
          <cell r="O90">
            <v>0.73</v>
          </cell>
          <cell r="Q90">
            <v>0</v>
          </cell>
          <cell r="S90">
            <v>0</v>
          </cell>
          <cell r="U90">
            <v>0</v>
          </cell>
          <cell r="W90">
            <v>0</v>
          </cell>
        </row>
        <row r="91">
          <cell r="I91">
            <v>0</v>
          </cell>
          <cell r="K91">
            <v>0</v>
          </cell>
          <cell r="M91">
            <v>0.21529999999999999</v>
          </cell>
          <cell r="O91">
            <v>0.78469999999999995</v>
          </cell>
          <cell r="Q91">
            <v>0</v>
          </cell>
          <cell r="S91">
            <v>0</v>
          </cell>
          <cell r="U91">
            <v>0</v>
          </cell>
          <cell r="W91">
            <v>0</v>
          </cell>
        </row>
        <row r="92">
          <cell r="I92">
            <v>0</v>
          </cell>
          <cell r="K92">
            <v>0</v>
          </cell>
          <cell r="M92">
            <v>0.27929999999999999</v>
          </cell>
          <cell r="O92">
            <v>0.72070000000000001</v>
          </cell>
          <cell r="Q92">
            <v>0</v>
          </cell>
          <cell r="S92">
            <v>0</v>
          </cell>
          <cell r="U92">
            <v>0</v>
          </cell>
          <cell r="W92">
            <v>0</v>
          </cell>
        </row>
        <row r="94">
          <cell r="I94">
            <v>0</v>
          </cell>
          <cell r="K94">
            <v>0</v>
          </cell>
          <cell r="M94">
            <v>0.25490000000000002</v>
          </cell>
          <cell r="O94">
            <v>0.74509999999999998</v>
          </cell>
          <cell r="Q94">
            <v>0</v>
          </cell>
          <cell r="S94">
            <v>0</v>
          </cell>
          <cell r="U94">
            <v>0</v>
          </cell>
          <cell r="W94">
            <v>0</v>
          </cell>
        </row>
        <row r="107">
          <cell r="I107">
            <v>0.17930000000000001</v>
          </cell>
          <cell r="K107">
            <v>0.1593</v>
          </cell>
          <cell r="M107">
            <v>0.06</v>
          </cell>
          <cell r="O107">
            <v>0.16209999999999999</v>
          </cell>
          <cell r="Q107">
            <v>0.28849999999999998</v>
          </cell>
          <cell r="S107">
            <v>0.15079999999999999</v>
          </cell>
        </row>
        <row r="108">
          <cell r="I108">
            <v>0.20350000000000001</v>
          </cell>
          <cell r="K108">
            <v>0.1651</v>
          </cell>
          <cell r="M108">
            <v>5.0700000000000002E-2</v>
          </cell>
          <cell r="O108">
            <v>0.18490000000000001</v>
          </cell>
          <cell r="Q108">
            <v>0.22589999999999999</v>
          </cell>
          <cell r="S108">
            <v>0.1699</v>
          </cell>
        </row>
        <row r="109">
          <cell r="I109">
            <v>0.19020000000000004</v>
          </cell>
          <cell r="K109">
            <v>0.1583</v>
          </cell>
          <cell r="M109">
            <v>5.5500000000000001E-2</v>
          </cell>
          <cell r="O109">
            <v>0.14319999999999999</v>
          </cell>
          <cell r="Q109">
            <v>0.2409</v>
          </cell>
          <cell r="S109">
            <v>0.21190000000000001</v>
          </cell>
        </row>
        <row r="111">
          <cell r="I111">
            <v>0.19100000000000006</v>
          </cell>
          <cell r="K111">
            <v>0.16089999999999999</v>
          </cell>
          <cell r="M111">
            <v>5.5399999999999998E-2</v>
          </cell>
          <cell r="O111">
            <v>0.16339999999999999</v>
          </cell>
          <cell r="Q111">
            <v>0.25180000000000002</v>
          </cell>
          <cell r="S111">
            <v>0.17749999999999999</v>
          </cell>
        </row>
        <row r="133">
          <cell r="I133">
            <v>0.10249999999999992</v>
          </cell>
          <cell r="U133">
            <v>0.59130000000000005</v>
          </cell>
          <cell r="W133">
            <v>0.30620000000000003</v>
          </cell>
        </row>
        <row r="134">
          <cell r="I134">
            <v>0.15860000000000007</v>
          </cell>
          <cell r="U134">
            <v>0.84119999999999995</v>
          </cell>
          <cell r="W134">
            <v>2.0000000000000001E-4</v>
          </cell>
        </row>
        <row r="135">
          <cell r="I135">
            <v>0.13559999999999994</v>
          </cell>
          <cell r="U135">
            <v>0.496</v>
          </cell>
          <cell r="W135">
            <v>0.36840000000000001</v>
          </cell>
        </row>
        <row r="137">
          <cell r="I137">
            <v>0.13229999999999997</v>
          </cell>
          <cell r="U137">
            <v>0.64280000000000004</v>
          </cell>
          <cell r="W137">
            <v>0.22489999999999999</v>
          </cell>
        </row>
        <row r="149">
          <cell r="I149">
            <v>0.14780000000000004</v>
          </cell>
          <cell r="U149">
            <v>0.85219999999999996</v>
          </cell>
        </row>
        <row r="150">
          <cell r="I150">
            <v>0.15869999999999995</v>
          </cell>
          <cell r="U150">
            <v>0.84130000000000005</v>
          </cell>
        </row>
        <row r="151">
          <cell r="I151">
            <v>0.21460000000000001</v>
          </cell>
          <cell r="U151">
            <v>0.78539999999999999</v>
          </cell>
        </row>
        <row r="153">
          <cell r="I153">
            <v>0.17369999999999997</v>
          </cell>
          <cell r="U153">
            <v>0.82630000000000003</v>
          </cell>
        </row>
        <row r="165">
          <cell r="I165">
            <v>0.10450000000000004</v>
          </cell>
          <cell r="K165">
            <v>6.13E-2</v>
          </cell>
          <cell r="M165">
            <v>2.9399999999999999E-2</v>
          </cell>
          <cell r="O165">
            <v>7.9399999999999998E-2</v>
          </cell>
          <cell r="Q165">
            <v>0.14130000000000001</v>
          </cell>
          <cell r="S165">
            <v>7.3899999999999993E-2</v>
          </cell>
          <cell r="U165">
            <v>0.50649999999999995</v>
          </cell>
          <cell r="AE165">
            <v>3.7000000000000002E-3</v>
          </cell>
        </row>
        <row r="166">
          <cell r="I166">
            <v>9.7899999999999987E-2</v>
          </cell>
          <cell r="K166">
            <v>7.9399999999999998E-2</v>
          </cell>
          <cell r="M166">
            <v>2.4400000000000002E-2</v>
          </cell>
          <cell r="O166">
            <v>8.8999999999999996E-2</v>
          </cell>
          <cell r="Q166">
            <v>0.1087</v>
          </cell>
          <cell r="S166">
            <v>8.1699999999999995E-2</v>
          </cell>
          <cell r="U166">
            <v>0.51890000000000003</v>
          </cell>
          <cell r="AE166">
            <v>0</v>
          </cell>
        </row>
        <row r="167">
          <cell r="I167">
            <v>0.11170000000000002</v>
          </cell>
          <cell r="K167">
            <v>9.2899999999999996E-2</v>
          </cell>
          <cell r="M167">
            <v>3.2599999999999997E-2</v>
          </cell>
          <cell r="O167">
            <v>8.4099999999999994E-2</v>
          </cell>
          <cell r="Q167">
            <v>0.1414</v>
          </cell>
          <cell r="S167">
            <v>0.1244</v>
          </cell>
          <cell r="U167">
            <v>0.40870000000000001</v>
          </cell>
          <cell r="AE167">
            <v>4.1999999999999997E-3</v>
          </cell>
        </row>
        <row r="169">
          <cell r="I169">
            <v>0.1046999999999999</v>
          </cell>
          <cell r="K169">
            <v>7.7899999999999997E-2</v>
          </cell>
          <cell r="M169">
            <v>2.8799999999999999E-2</v>
          </cell>
          <cell r="O169">
            <v>8.4199999999999997E-2</v>
          </cell>
          <cell r="Q169">
            <v>0.1305</v>
          </cell>
          <cell r="S169">
            <v>9.3299999999999994E-2</v>
          </cell>
          <cell r="U169">
            <v>0.47799999999999998</v>
          </cell>
          <cell r="AE169">
            <v>2.5999999999999999E-3</v>
          </cell>
        </row>
        <row r="181">
          <cell r="K181">
            <v>0.29920000000000002</v>
          </cell>
          <cell r="M181">
            <v>0.11269999999999999</v>
          </cell>
          <cell r="O181">
            <v>0.30470000000000003</v>
          </cell>
          <cell r="S181">
            <v>0.28339999999999999</v>
          </cell>
        </row>
        <row r="182">
          <cell r="K182">
            <v>0.28929999999999989</v>
          </cell>
          <cell r="M182">
            <v>8.8900000000000007E-2</v>
          </cell>
          <cell r="O182">
            <v>0.32400000000000001</v>
          </cell>
          <cell r="S182">
            <v>0.29780000000000001</v>
          </cell>
        </row>
        <row r="183">
          <cell r="K183">
            <v>0.27829999999999999</v>
          </cell>
          <cell r="M183">
            <v>9.7500000000000003E-2</v>
          </cell>
          <cell r="O183">
            <v>0.25169999999999998</v>
          </cell>
          <cell r="S183">
            <v>0.3725</v>
          </cell>
        </row>
        <row r="185">
          <cell r="K185">
            <v>0.28889999999999993</v>
          </cell>
          <cell r="M185">
            <v>9.9699999999999997E-2</v>
          </cell>
          <cell r="O185">
            <v>0.29349999999999998</v>
          </cell>
          <cell r="S185">
            <v>0.31790000000000002</v>
          </cell>
        </row>
        <row r="198">
          <cell r="I198">
            <v>0.17800000000000005</v>
          </cell>
          <cell r="K198">
            <v>0.15809999999999999</v>
          </cell>
          <cell r="M198">
            <v>5.9499999999999997E-2</v>
          </cell>
          <cell r="O198">
            <v>0.16089999999999999</v>
          </cell>
          <cell r="Q198">
            <v>0.28639999999999999</v>
          </cell>
          <cell r="S198">
            <v>0.1497</v>
          </cell>
          <cell r="AE198">
            <v>7.4000000000000003E-3</v>
          </cell>
        </row>
        <row r="199">
          <cell r="I199">
            <v>0.20350000000000001</v>
          </cell>
          <cell r="K199">
            <v>0.1651</v>
          </cell>
          <cell r="M199">
            <v>5.0700000000000002E-2</v>
          </cell>
          <cell r="O199">
            <v>0.18490000000000001</v>
          </cell>
          <cell r="Q199">
            <v>0.22589999999999999</v>
          </cell>
          <cell r="S199">
            <v>0.1699</v>
          </cell>
          <cell r="AE199">
            <v>0</v>
          </cell>
        </row>
        <row r="200">
          <cell r="I200">
            <v>0.18879999999999997</v>
          </cell>
          <cell r="K200">
            <v>0.15720000000000001</v>
          </cell>
          <cell r="M200">
            <v>5.5100000000000003E-2</v>
          </cell>
          <cell r="O200">
            <v>0.14219999999999999</v>
          </cell>
          <cell r="Q200">
            <v>0.2392</v>
          </cell>
          <cell r="S200">
            <v>0.2104</v>
          </cell>
          <cell r="AE200">
            <v>7.1000000000000004E-3</v>
          </cell>
        </row>
        <row r="202">
          <cell r="I202">
            <v>0.19009999999999994</v>
          </cell>
          <cell r="K202">
            <v>0.16009999999999999</v>
          </cell>
          <cell r="M202">
            <v>5.5100000000000003E-2</v>
          </cell>
          <cell r="O202">
            <v>0.16270000000000001</v>
          </cell>
          <cell r="Q202">
            <v>0.2505</v>
          </cell>
          <cell r="S202">
            <v>0.1767</v>
          </cell>
          <cell r="AE202">
            <v>4.7999999999999996E-3</v>
          </cell>
        </row>
        <row r="215">
          <cell r="W215">
            <v>0.98623053011549933</v>
          </cell>
          <cell r="AE215">
            <v>1.3769469884500677E-2</v>
          </cell>
        </row>
        <row r="216">
          <cell r="W216">
            <v>0.95853489979267448</v>
          </cell>
          <cell r="AE216">
            <v>4.1465100207325502E-2</v>
          </cell>
        </row>
        <row r="217">
          <cell r="W217">
            <v>0.98630288566612734</v>
          </cell>
          <cell r="AE217">
            <v>1.3697114333872652E-2</v>
          </cell>
        </row>
        <row r="219">
          <cell r="W219">
            <v>0.97699999999999998</v>
          </cell>
          <cell r="AE219">
            <v>2.3E-2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LA"/>
      <sheetName val="Summary WTX"/>
      <sheetName val="Summary Kentucky-Midstates"/>
      <sheetName val="Summary CO-KS"/>
      <sheetName val="Summary Mid Tex"/>
      <sheetName val="Summary MS"/>
      <sheetName val="Summary AtmosPipeline"/>
      <sheetName val="LA"/>
      <sheetName val="WTX"/>
      <sheetName val="CO KS"/>
      <sheetName val="MidStates"/>
      <sheetName val="MS"/>
      <sheetName val="Mid Tex"/>
      <sheetName val="Sheet1"/>
    </sheetNames>
    <sheetDataSet>
      <sheetData sheetId="0"/>
      <sheetData sheetId="1"/>
      <sheetData sheetId="2"/>
      <sheetData sheetId="3"/>
      <sheetData sheetId="4"/>
      <sheetData sheetId="5"/>
      <sheetData sheetId="6"/>
      <sheetData sheetId="7">
        <row r="21">
          <cell r="F21">
            <v>73888</v>
          </cell>
          <cell r="J21">
            <v>271542</v>
          </cell>
        </row>
        <row r="22">
          <cell r="F22">
            <v>73937</v>
          </cell>
          <cell r="J22">
            <v>270840</v>
          </cell>
        </row>
        <row r="23">
          <cell r="F23">
            <v>74280</v>
          </cell>
          <cell r="J23">
            <v>273604</v>
          </cell>
        </row>
        <row r="24">
          <cell r="F24">
            <v>74598</v>
          </cell>
          <cell r="J24">
            <v>273973</v>
          </cell>
        </row>
        <row r="25">
          <cell r="F25">
            <v>74589</v>
          </cell>
          <cell r="J25">
            <v>273704</v>
          </cell>
        </row>
        <row r="26">
          <cell r="F26">
            <v>74874</v>
          </cell>
          <cell r="J26">
            <v>275957</v>
          </cell>
        </row>
        <row r="27">
          <cell r="F27">
            <v>74717</v>
          </cell>
          <cell r="J27">
            <v>274953</v>
          </cell>
        </row>
        <row r="28">
          <cell r="F28">
            <v>74632</v>
          </cell>
          <cell r="J28">
            <v>273458</v>
          </cell>
        </row>
        <row r="29">
          <cell r="F29">
            <v>74550</v>
          </cell>
          <cell r="J29">
            <v>276495</v>
          </cell>
        </row>
        <row r="30">
          <cell r="F30">
            <v>74090</v>
          </cell>
          <cell r="J30">
            <v>274087</v>
          </cell>
        </row>
        <row r="31">
          <cell r="F31">
            <v>74538</v>
          </cell>
          <cell r="J31">
            <v>275712</v>
          </cell>
        </row>
        <row r="32">
          <cell r="F32">
            <v>73908</v>
          </cell>
          <cell r="J32">
            <v>273362</v>
          </cell>
        </row>
      </sheetData>
      <sheetData sheetId="8">
        <row r="139">
          <cell r="I139">
            <v>1154</v>
          </cell>
        </row>
        <row r="140">
          <cell r="I140">
            <v>1146</v>
          </cell>
        </row>
        <row r="141">
          <cell r="I141">
            <v>1147</v>
          </cell>
        </row>
        <row r="142">
          <cell r="I142">
            <v>1145</v>
          </cell>
        </row>
        <row r="143">
          <cell r="I143">
            <v>1143</v>
          </cell>
        </row>
        <row r="144">
          <cell r="I144">
            <v>1145</v>
          </cell>
        </row>
        <row r="145">
          <cell r="I145">
            <v>1141</v>
          </cell>
        </row>
        <row r="146">
          <cell r="I146">
            <v>1131</v>
          </cell>
        </row>
        <row r="147">
          <cell r="I147">
            <v>1146</v>
          </cell>
        </row>
        <row r="148">
          <cell r="I148">
            <v>1145</v>
          </cell>
        </row>
        <row r="149">
          <cell r="I149">
            <v>1158</v>
          </cell>
        </row>
        <row r="150">
          <cell r="I150">
            <v>1113</v>
          </cell>
        </row>
        <row r="155">
          <cell r="I155">
            <v>89</v>
          </cell>
        </row>
        <row r="156">
          <cell r="I156">
            <v>97</v>
          </cell>
        </row>
        <row r="157">
          <cell r="I157">
            <v>106</v>
          </cell>
        </row>
        <row r="158">
          <cell r="I158">
            <v>94</v>
          </cell>
        </row>
        <row r="159">
          <cell r="I159">
            <v>101</v>
          </cell>
        </row>
        <row r="160">
          <cell r="I160">
            <v>97</v>
          </cell>
        </row>
        <row r="161">
          <cell r="I161">
            <v>112</v>
          </cell>
        </row>
        <row r="162">
          <cell r="I162">
            <v>96</v>
          </cell>
        </row>
        <row r="163">
          <cell r="I163">
            <v>102</v>
          </cell>
        </row>
        <row r="164">
          <cell r="I164">
            <v>87</v>
          </cell>
        </row>
        <row r="165">
          <cell r="I165">
            <v>96</v>
          </cell>
        </row>
        <row r="166">
          <cell r="I166">
            <v>89</v>
          </cell>
        </row>
        <row r="171">
          <cell r="I171">
            <v>68968</v>
          </cell>
        </row>
        <row r="172">
          <cell r="I172">
            <v>69144</v>
          </cell>
        </row>
        <row r="173">
          <cell r="I173">
            <v>69372</v>
          </cell>
        </row>
        <row r="174">
          <cell r="I174">
            <v>69691</v>
          </cell>
        </row>
        <row r="175">
          <cell r="I175">
            <v>69761</v>
          </cell>
        </row>
        <row r="176">
          <cell r="I176">
            <v>69828</v>
          </cell>
        </row>
        <row r="177">
          <cell r="I177">
            <v>69887</v>
          </cell>
        </row>
        <row r="178">
          <cell r="I178">
            <v>69575</v>
          </cell>
        </row>
        <row r="179">
          <cell r="I179">
            <v>69649</v>
          </cell>
        </row>
        <row r="180">
          <cell r="I180">
            <v>69746</v>
          </cell>
        </row>
        <row r="181">
          <cell r="I181">
            <v>69829</v>
          </cell>
        </row>
        <row r="182">
          <cell r="I182">
            <v>69403</v>
          </cell>
        </row>
        <row r="187">
          <cell r="I187">
            <v>2645</v>
          </cell>
        </row>
        <row r="188">
          <cell r="I188">
            <v>2657</v>
          </cell>
        </row>
        <row r="189">
          <cell r="I189">
            <v>2657</v>
          </cell>
        </row>
        <row r="190">
          <cell r="I190">
            <v>2673</v>
          </cell>
        </row>
        <row r="191">
          <cell r="I191">
            <v>2661</v>
          </cell>
        </row>
        <row r="192">
          <cell r="I192">
            <v>2679</v>
          </cell>
        </row>
        <row r="193">
          <cell r="I193">
            <v>2700</v>
          </cell>
        </row>
        <row r="194">
          <cell r="I194">
            <v>2685</v>
          </cell>
        </row>
        <row r="195">
          <cell r="I195">
            <v>2665</v>
          </cell>
        </row>
        <row r="196">
          <cell r="I196">
            <v>2683</v>
          </cell>
        </row>
        <row r="197">
          <cell r="I197">
            <v>2697</v>
          </cell>
        </row>
        <row r="198">
          <cell r="I198">
            <v>2670</v>
          </cell>
        </row>
        <row r="203">
          <cell r="I203">
            <v>2151</v>
          </cell>
        </row>
        <row r="204">
          <cell r="I204">
            <v>2126</v>
          </cell>
        </row>
        <row r="205">
          <cell r="I205">
            <v>2115</v>
          </cell>
        </row>
        <row r="206">
          <cell r="I206">
            <v>2102</v>
          </cell>
        </row>
        <row r="207">
          <cell r="I207">
            <v>2095</v>
          </cell>
        </row>
        <row r="208">
          <cell r="I208">
            <v>2072</v>
          </cell>
        </row>
        <row r="209">
          <cell r="I209">
            <v>2066</v>
          </cell>
        </row>
        <row r="210">
          <cell r="I210">
            <v>2027</v>
          </cell>
        </row>
        <row r="211">
          <cell r="I211">
            <v>2011</v>
          </cell>
        </row>
        <row r="212">
          <cell r="I212">
            <v>2008</v>
          </cell>
        </row>
        <row r="213">
          <cell r="I213">
            <v>1981</v>
          </cell>
        </row>
        <row r="214">
          <cell r="I214">
            <v>1962</v>
          </cell>
        </row>
        <row r="219">
          <cell r="I219">
            <v>164</v>
          </cell>
        </row>
        <row r="220">
          <cell r="I220">
            <v>162</v>
          </cell>
        </row>
        <row r="221">
          <cell r="I221">
            <v>163</v>
          </cell>
        </row>
        <row r="222">
          <cell r="I222">
            <v>159</v>
          </cell>
        </row>
        <row r="223">
          <cell r="I223">
            <v>158</v>
          </cell>
        </row>
        <row r="224">
          <cell r="I224">
            <v>158</v>
          </cell>
        </row>
        <row r="225">
          <cell r="I225">
            <v>156</v>
          </cell>
        </row>
        <row r="226">
          <cell r="I226">
            <v>156</v>
          </cell>
        </row>
        <row r="227">
          <cell r="I227">
            <v>155</v>
          </cell>
        </row>
        <row r="228">
          <cell r="I228">
            <v>155</v>
          </cell>
        </row>
        <row r="229">
          <cell r="I229">
            <v>155</v>
          </cell>
        </row>
        <row r="230">
          <cell r="I230">
            <v>153</v>
          </cell>
        </row>
        <row r="235">
          <cell r="I235">
            <v>68744</v>
          </cell>
        </row>
        <row r="236">
          <cell r="I236">
            <v>68615</v>
          </cell>
        </row>
        <row r="237">
          <cell r="I237">
            <v>69190</v>
          </cell>
        </row>
        <row r="238">
          <cell r="I238">
            <v>69592</v>
          </cell>
        </row>
        <row r="239">
          <cell r="I239">
            <v>69515</v>
          </cell>
        </row>
        <row r="240">
          <cell r="I240">
            <v>69889</v>
          </cell>
        </row>
        <row r="241">
          <cell r="I241">
            <v>69660</v>
          </cell>
        </row>
        <row r="242">
          <cell r="I242">
            <v>69768</v>
          </cell>
        </row>
        <row r="243">
          <cell r="I243">
            <v>69749</v>
          </cell>
        </row>
        <row r="244">
          <cell r="I244">
            <v>69694</v>
          </cell>
        </row>
        <row r="245">
          <cell r="I245">
            <v>69793</v>
          </cell>
        </row>
        <row r="246">
          <cell r="I246">
            <v>69609</v>
          </cell>
        </row>
        <row r="251">
          <cell r="I251">
            <v>4897</v>
          </cell>
        </row>
        <row r="252">
          <cell r="I252">
            <v>4932</v>
          </cell>
        </row>
        <row r="253">
          <cell r="I253">
            <v>4954</v>
          </cell>
        </row>
        <row r="254">
          <cell r="I254">
            <v>4999</v>
          </cell>
        </row>
        <row r="255">
          <cell r="I255">
            <v>4971</v>
          </cell>
        </row>
        <row r="256">
          <cell r="I256">
            <v>4979</v>
          </cell>
        </row>
        <row r="257">
          <cell r="I257">
            <v>4975</v>
          </cell>
        </row>
        <row r="258">
          <cell r="I258">
            <v>4947</v>
          </cell>
        </row>
        <row r="259">
          <cell r="I259">
            <v>4943</v>
          </cell>
        </row>
        <row r="260">
          <cell r="I260">
            <v>4881</v>
          </cell>
        </row>
        <row r="261">
          <cell r="I261">
            <v>4924</v>
          </cell>
        </row>
        <row r="262">
          <cell r="I262">
            <v>4869</v>
          </cell>
        </row>
        <row r="267">
          <cell r="I267">
            <v>134578</v>
          </cell>
        </row>
        <row r="268">
          <cell r="I268">
            <v>134469</v>
          </cell>
        </row>
        <row r="269">
          <cell r="I269">
            <v>135581</v>
          </cell>
        </row>
        <row r="270">
          <cell r="I270">
            <v>135573</v>
          </cell>
        </row>
        <row r="271">
          <cell r="I271">
            <v>135697</v>
          </cell>
        </row>
        <row r="272">
          <cell r="I272">
            <v>136165</v>
          </cell>
        </row>
        <row r="273">
          <cell r="I273">
            <v>135816</v>
          </cell>
        </row>
        <row r="274">
          <cell r="I274">
            <v>135449</v>
          </cell>
        </row>
        <row r="275">
          <cell r="I275">
            <v>135651</v>
          </cell>
        </row>
        <row r="276">
          <cell r="I276">
            <v>135607</v>
          </cell>
        </row>
        <row r="277">
          <cell r="I277">
            <v>135673</v>
          </cell>
        </row>
        <row r="278">
          <cell r="I278">
            <v>134296</v>
          </cell>
        </row>
        <row r="283">
          <cell r="I283">
            <v>13852</v>
          </cell>
        </row>
        <row r="284">
          <cell r="I284">
            <v>13923</v>
          </cell>
        </row>
        <row r="285">
          <cell r="I285">
            <v>14117</v>
          </cell>
        </row>
        <row r="286">
          <cell r="I286">
            <v>14142</v>
          </cell>
        </row>
        <row r="287">
          <cell r="I287">
            <v>14118</v>
          </cell>
        </row>
        <row r="288">
          <cell r="I288">
            <v>14172</v>
          </cell>
        </row>
        <row r="289">
          <cell r="I289">
            <v>14131</v>
          </cell>
        </row>
        <row r="290">
          <cell r="I290">
            <v>14138</v>
          </cell>
        </row>
        <row r="291">
          <cell r="I291">
            <v>14053</v>
          </cell>
        </row>
        <row r="292">
          <cell r="I292">
            <v>14064</v>
          </cell>
        </row>
        <row r="293">
          <cell r="I293">
            <v>14201</v>
          </cell>
        </row>
        <row r="294">
          <cell r="I294">
            <v>14005</v>
          </cell>
        </row>
        <row r="299">
          <cell r="I299">
            <v>60</v>
          </cell>
        </row>
        <row r="300">
          <cell r="I300">
            <v>46</v>
          </cell>
        </row>
        <row r="301">
          <cell r="I301">
            <v>43</v>
          </cell>
        </row>
        <row r="302">
          <cell r="I302">
            <v>41</v>
          </cell>
        </row>
        <row r="303">
          <cell r="I303">
            <v>41</v>
          </cell>
        </row>
        <row r="304">
          <cell r="I304">
            <v>41</v>
          </cell>
        </row>
        <row r="305">
          <cell r="I305">
            <v>42</v>
          </cell>
        </row>
        <row r="306">
          <cell r="I306">
            <v>41</v>
          </cell>
        </row>
        <row r="307">
          <cell r="I307">
            <v>39</v>
          </cell>
        </row>
        <row r="308">
          <cell r="I308">
            <v>37</v>
          </cell>
        </row>
        <row r="309">
          <cell r="I309">
            <v>7</v>
          </cell>
        </row>
        <row r="310">
          <cell r="I310">
            <v>19</v>
          </cell>
        </row>
        <row r="315">
          <cell r="I315">
            <v>31</v>
          </cell>
        </row>
        <row r="316">
          <cell r="I316">
            <v>30</v>
          </cell>
        </row>
        <row r="317">
          <cell r="I317">
            <v>29</v>
          </cell>
        </row>
        <row r="318">
          <cell r="I318">
            <v>29</v>
          </cell>
        </row>
        <row r="319">
          <cell r="I319">
            <v>28</v>
          </cell>
        </row>
        <row r="320">
          <cell r="I320">
            <v>27</v>
          </cell>
        </row>
        <row r="321">
          <cell r="I321">
            <v>26</v>
          </cell>
        </row>
        <row r="322">
          <cell r="I322">
            <v>27</v>
          </cell>
        </row>
        <row r="323">
          <cell r="I323">
            <v>24</v>
          </cell>
        </row>
        <row r="324">
          <cell r="I324">
            <v>24</v>
          </cell>
        </row>
        <row r="325">
          <cell r="I325">
            <v>11</v>
          </cell>
        </row>
        <row r="326">
          <cell r="I326">
            <v>11</v>
          </cell>
        </row>
        <row r="331">
          <cell r="I331">
            <v>9</v>
          </cell>
        </row>
        <row r="332">
          <cell r="I332">
            <v>9</v>
          </cell>
        </row>
        <row r="333">
          <cell r="I333">
            <v>9</v>
          </cell>
        </row>
        <row r="334">
          <cell r="I334">
            <v>9</v>
          </cell>
        </row>
        <row r="335">
          <cell r="I335">
            <v>10</v>
          </cell>
        </row>
        <row r="336">
          <cell r="I336">
            <v>10</v>
          </cell>
        </row>
        <row r="337">
          <cell r="I337">
            <v>10</v>
          </cell>
        </row>
        <row r="338">
          <cell r="I338">
            <v>10</v>
          </cell>
        </row>
        <row r="339">
          <cell r="I339">
            <v>10</v>
          </cell>
        </row>
        <row r="340">
          <cell r="I340">
            <v>10</v>
          </cell>
        </row>
        <row r="341">
          <cell r="I341">
            <v>21</v>
          </cell>
        </row>
        <row r="342">
          <cell r="I342">
            <v>21</v>
          </cell>
        </row>
      </sheetData>
      <sheetData sheetId="9">
        <row r="97">
          <cell r="I97">
            <v>51877</v>
          </cell>
        </row>
        <row r="98">
          <cell r="I98">
            <v>52089</v>
          </cell>
        </row>
        <row r="99">
          <cell r="I99">
            <v>52583</v>
          </cell>
        </row>
        <row r="100">
          <cell r="I100">
            <v>52468</v>
          </cell>
        </row>
        <row r="101">
          <cell r="I101">
            <v>52483</v>
          </cell>
        </row>
        <row r="102">
          <cell r="I102">
            <v>53193</v>
          </cell>
        </row>
        <row r="103">
          <cell r="I103">
            <v>53054</v>
          </cell>
        </row>
        <row r="104">
          <cell r="I104">
            <v>53486</v>
          </cell>
        </row>
        <row r="105">
          <cell r="I105">
            <v>53226</v>
          </cell>
        </row>
        <row r="106">
          <cell r="I106">
            <v>53168</v>
          </cell>
        </row>
        <row r="107">
          <cell r="I107">
            <v>53361</v>
          </cell>
        </row>
        <row r="108">
          <cell r="I108">
            <v>53135</v>
          </cell>
        </row>
        <row r="113">
          <cell r="I113">
            <v>25474</v>
          </cell>
        </row>
        <row r="114">
          <cell r="I114">
            <v>25539</v>
          </cell>
        </row>
        <row r="115">
          <cell r="I115">
            <v>25776</v>
          </cell>
        </row>
        <row r="116">
          <cell r="I116">
            <v>25740</v>
          </cell>
        </row>
        <row r="117">
          <cell r="I117">
            <v>25637</v>
          </cell>
        </row>
        <row r="118">
          <cell r="I118">
            <v>25717</v>
          </cell>
        </row>
        <row r="119">
          <cell r="I119">
            <v>25842</v>
          </cell>
        </row>
        <row r="120">
          <cell r="I120">
            <v>25820</v>
          </cell>
        </row>
        <row r="121">
          <cell r="I121">
            <v>25853</v>
          </cell>
        </row>
        <row r="122">
          <cell r="I122">
            <v>25814</v>
          </cell>
        </row>
        <row r="123">
          <cell r="I123">
            <v>25866</v>
          </cell>
        </row>
        <row r="124">
          <cell r="I124">
            <v>25854</v>
          </cell>
        </row>
        <row r="129">
          <cell r="I129">
            <v>20924</v>
          </cell>
        </row>
        <row r="130">
          <cell r="I130">
            <v>21040</v>
          </cell>
        </row>
        <row r="131">
          <cell r="I131">
            <v>21150</v>
          </cell>
        </row>
        <row r="132">
          <cell r="I132">
            <v>21046</v>
          </cell>
        </row>
        <row r="133">
          <cell r="I133">
            <v>21060</v>
          </cell>
        </row>
        <row r="134">
          <cell r="I134">
            <v>21136</v>
          </cell>
        </row>
        <row r="135">
          <cell r="I135">
            <v>21210</v>
          </cell>
        </row>
        <row r="136">
          <cell r="I136">
            <v>21128</v>
          </cell>
        </row>
        <row r="137">
          <cell r="I137">
            <v>21095</v>
          </cell>
        </row>
        <row r="138">
          <cell r="I138">
            <v>21060</v>
          </cell>
        </row>
        <row r="139">
          <cell r="I139">
            <v>21117</v>
          </cell>
        </row>
        <row r="140">
          <cell r="I140">
            <v>20992</v>
          </cell>
        </row>
        <row r="145">
          <cell r="I145">
            <v>17295</v>
          </cell>
        </row>
        <row r="146">
          <cell r="I146">
            <v>17338</v>
          </cell>
        </row>
        <row r="147">
          <cell r="I147">
            <v>17452</v>
          </cell>
        </row>
        <row r="148">
          <cell r="I148">
            <v>17452</v>
          </cell>
        </row>
        <row r="149">
          <cell r="I149">
            <v>17480</v>
          </cell>
        </row>
        <row r="150">
          <cell r="I150">
            <v>17501</v>
          </cell>
        </row>
        <row r="151">
          <cell r="I151">
            <v>17548</v>
          </cell>
        </row>
        <row r="152">
          <cell r="I152">
            <v>17594</v>
          </cell>
        </row>
        <row r="153">
          <cell r="I153">
            <v>17618</v>
          </cell>
        </row>
        <row r="154">
          <cell r="I154">
            <v>17606</v>
          </cell>
        </row>
        <row r="155">
          <cell r="I155">
            <v>17653</v>
          </cell>
        </row>
        <row r="156">
          <cell r="I156">
            <v>17600</v>
          </cell>
        </row>
        <row r="161">
          <cell r="I161">
            <v>130874</v>
          </cell>
        </row>
        <row r="162">
          <cell r="I162">
            <v>131313</v>
          </cell>
        </row>
        <row r="163">
          <cell r="I163">
            <v>132333</v>
          </cell>
        </row>
        <row r="164">
          <cell r="I164">
            <v>132433</v>
          </cell>
        </row>
        <row r="165">
          <cell r="I165">
            <v>132690</v>
          </cell>
        </row>
        <row r="166">
          <cell r="I166">
            <v>133313</v>
          </cell>
        </row>
        <row r="167">
          <cell r="I167">
            <v>132571</v>
          </cell>
        </row>
        <row r="168">
          <cell r="I168">
            <v>132985</v>
          </cell>
        </row>
        <row r="169">
          <cell r="I169">
            <v>132958</v>
          </cell>
        </row>
        <row r="170">
          <cell r="I170">
            <v>131310</v>
          </cell>
        </row>
        <row r="171">
          <cell r="I171">
            <v>133603</v>
          </cell>
        </row>
        <row r="172">
          <cell r="I172">
            <v>131578</v>
          </cell>
        </row>
      </sheetData>
      <sheetData sheetId="10">
        <row r="43">
          <cell r="I43">
            <v>171600</v>
          </cell>
        </row>
        <row r="44">
          <cell r="I44">
            <v>172801</v>
          </cell>
        </row>
        <row r="45">
          <cell r="I45">
            <v>176361</v>
          </cell>
        </row>
        <row r="46">
          <cell r="I46">
            <v>176567</v>
          </cell>
        </row>
        <row r="47">
          <cell r="I47">
            <v>177645</v>
          </cell>
        </row>
        <row r="48">
          <cell r="I48">
            <v>179155</v>
          </cell>
        </row>
        <row r="49">
          <cell r="I49">
            <v>176838</v>
          </cell>
        </row>
        <row r="50">
          <cell r="I50">
            <v>177637</v>
          </cell>
        </row>
        <row r="51">
          <cell r="I51">
            <v>175399</v>
          </cell>
        </row>
        <row r="52">
          <cell r="I52">
            <v>173395</v>
          </cell>
        </row>
        <row r="53">
          <cell r="I53">
            <v>174481</v>
          </cell>
        </row>
        <row r="54">
          <cell r="I54">
            <v>171720</v>
          </cell>
        </row>
        <row r="59">
          <cell r="I59">
            <v>136264</v>
          </cell>
        </row>
        <row r="60">
          <cell r="I60">
            <v>137506</v>
          </cell>
        </row>
        <row r="61">
          <cell r="I61">
            <v>139341</v>
          </cell>
        </row>
        <row r="62">
          <cell r="I62">
            <v>140045</v>
          </cell>
        </row>
        <row r="63">
          <cell r="I63">
            <v>140701</v>
          </cell>
        </row>
        <row r="64">
          <cell r="I64">
            <v>141802</v>
          </cell>
        </row>
        <row r="65">
          <cell r="I65">
            <v>140615</v>
          </cell>
        </row>
        <row r="66">
          <cell r="I66">
            <v>141303</v>
          </cell>
        </row>
        <row r="67">
          <cell r="I67">
            <v>140676</v>
          </cell>
        </row>
        <row r="68">
          <cell r="I68">
            <v>139257</v>
          </cell>
        </row>
        <row r="69">
          <cell r="I69">
            <v>140278</v>
          </cell>
        </row>
        <row r="70">
          <cell r="I70">
            <v>138696</v>
          </cell>
        </row>
        <row r="75">
          <cell r="I75">
            <v>22323</v>
          </cell>
        </row>
        <row r="76">
          <cell r="I76">
            <v>22575</v>
          </cell>
        </row>
        <row r="77">
          <cell r="I77">
            <v>22819</v>
          </cell>
        </row>
        <row r="78">
          <cell r="I78">
            <v>22970</v>
          </cell>
        </row>
        <row r="79">
          <cell r="I79">
            <v>23040</v>
          </cell>
        </row>
        <row r="80">
          <cell r="I80">
            <v>23177</v>
          </cell>
        </row>
        <row r="81">
          <cell r="I81">
            <v>22936</v>
          </cell>
        </row>
        <row r="82">
          <cell r="I82">
            <v>23166</v>
          </cell>
        </row>
        <row r="83">
          <cell r="I83">
            <v>23133</v>
          </cell>
        </row>
        <row r="84">
          <cell r="I84">
            <v>22859</v>
          </cell>
        </row>
        <row r="85">
          <cell r="I85">
            <v>22854</v>
          </cell>
        </row>
        <row r="86">
          <cell r="I86">
            <v>22499</v>
          </cell>
        </row>
      </sheetData>
      <sheetData sheetId="11">
        <row r="38">
          <cell r="I38">
            <v>252633</v>
          </cell>
        </row>
        <row r="39">
          <cell r="I39">
            <v>252093</v>
          </cell>
        </row>
        <row r="40">
          <cell r="I40">
            <v>255665</v>
          </cell>
        </row>
        <row r="41">
          <cell r="I41">
            <v>258449</v>
          </cell>
        </row>
        <row r="42">
          <cell r="I42">
            <v>257807</v>
          </cell>
        </row>
        <row r="43">
          <cell r="I43">
            <v>260280</v>
          </cell>
        </row>
        <row r="44">
          <cell r="I44">
            <v>258256</v>
          </cell>
        </row>
        <row r="45">
          <cell r="I45">
            <v>257902</v>
          </cell>
        </row>
        <row r="46">
          <cell r="I46">
            <v>231620</v>
          </cell>
        </row>
        <row r="47">
          <cell r="I47">
            <v>229652</v>
          </cell>
        </row>
        <row r="48">
          <cell r="I48">
            <v>231991</v>
          </cell>
        </row>
        <row r="49">
          <cell r="I49">
            <v>227669</v>
          </cell>
        </row>
      </sheetData>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3"/>
  <sheetViews>
    <sheetView workbookViewId="0">
      <pane ySplit="1" topLeftCell="A2" activePane="bottomLeft" state="frozen"/>
      <selection activeCell="A5" sqref="A5"/>
      <selection pane="bottomLeft" activeCell="A5" sqref="A5"/>
    </sheetView>
  </sheetViews>
  <sheetFormatPr defaultRowHeight="12.75" x14ac:dyDescent="0.2"/>
  <cols>
    <col min="2" max="2" width="57.42578125" customWidth="1"/>
    <col min="3" max="3" width="90.7109375" style="294" customWidth="1"/>
  </cols>
  <sheetData>
    <row r="1" spans="1:3" s="292" customFormat="1" ht="15" x14ac:dyDescent="0.35">
      <c r="A1" s="292" t="s">
        <v>335</v>
      </c>
      <c r="B1" s="292" t="s">
        <v>336</v>
      </c>
      <c r="C1" s="293" t="s">
        <v>338</v>
      </c>
    </row>
    <row r="2" spans="1:3" ht="38.25" x14ac:dyDescent="0.2">
      <c r="A2">
        <v>121115</v>
      </c>
      <c r="B2" s="291" t="s">
        <v>337</v>
      </c>
      <c r="C2" s="295" t="s">
        <v>341</v>
      </c>
    </row>
    <row r="3" spans="1:3" x14ac:dyDescent="0.2">
      <c r="B3" s="291" t="s">
        <v>340</v>
      </c>
      <c r="C3" s="295" t="s">
        <v>339</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00B0F0"/>
    <pageSetUpPr fitToPage="1"/>
  </sheetPr>
  <dimension ref="A1:R49"/>
  <sheetViews>
    <sheetView topLeftCell="A7" zoomScaleNormal="100" workbookViewId="0">
      <selection activeCell="P25" sqref="P25"/>
    </sheetView>
  </sheetViews>
  <sheetFormatPr defaultColWidth="9.140625" defaultRowHeight="12.75" x14ac:dyDescent="0.2"/>
  <cols>
    <col min="1" max="1" width="9.85546875" style="10" bestFit="1" customWidth="1"/>
    <col min="2" max="2" width="8.42578125" style="10" bestFit="1" customWidth="1"/>
    <col min="3" max="3" width="10.42578125" style="26" bestFit="1" customWidth="1"/>
    <col min="4" max="4" width="2.7109375" style="26" customWidth="1"/>
    <col min="5" max="5" width="9.85546875" style="10" bestFit="1" customWidth="1"/>
    <col min="6" max="6" width="8.42578125" style="10" bestFit="1" customWidth="1"/>
    <col min="7" max="7" width="15.42578125" style="106" bestFit="1" customWidth="1"/>
    <col min="8" max="8" width="2.7109375" style="10" customWidth="1"/>
    <col min="9" max="9" width="1.85546875" style="21" customWidth="1"/>
    <col min="10" max="10" width="14.140625" style="21" customWidth="1"/>
    <col min="11" max="11" width="2.7109375" style="10" customWidth="1"/>
    <col min="12" max="12" width="10.28515625" style="10" bestFit="1" customWidth="1"/>
    <col min="13" max="14" width="11.28515625" style="10" bestFit="1" customWidth="1"/>
    <col min="15" max="15" width="9.140625" style="10"/>
    <col min="16" max="16" width="12.85546875" style="10" bestFit="1" customWidth="1"/>
    <col min="17" max="18" width="11.28515625" style="10" bestFit="1" customWidth="1"/>
    <col min="19" max="16384" width="9.140625" style="10"/>
  </cols>
  <sheetData>
    <row r="1" spans="1:18" x14ac:dyDescent="0.2">
      <c r="A1" s="64" t="s">
        <v>17</v>
      </c>
      <c r="B1" s="64"/>
      <c r="C1" s="104"/>
      <c r="D1" s="104"/>
      <c r="E1" s="64"/>
      <c r="F1" s="64"/>
      <c r="J1" s="37" t="s">
        <v>381</v>
      </c>
    </row>
    <row r="2" spans="1:18" x14ac:dyDescent="0.2">
      <c r="A2" s="64" t="s">
        <v>18</v>
      </c>
      <c r="B2" s="64"/>
      <c r="C2" s="104"/>
      <c r="D2" s="104"/>
      <c r="E2" s="64"/>
      <c r="F2" s="64"/>
    </row>
    <row r="3" spans="1:18" x14ac:dyDescent="0.2">
      <c r="A3" s="64" t="s">
        <v>325</v>
      </c>
      <c r="B3" s="64"/>
      <c r="C3" s="104"/>
      <c r="D3" s="104"/>
      <c r="E3" s="64"/>
      <c r="F3" s="64"/>
    </row>
    <row r="4" spans="1:18" x14ac:dyDescent="0.2">
      <c r="A4" s="160" t="s">
        <v>99</v>
      </c>
    </row>
    <row r="5" spans="1:18" ht="15.75" x14ac:dyDescent="0.25">
      <c r="J5" s="278" t="s">
        <v>27</v>
      </c>
    </row>
    <row r="6" spans="1:18" x14ac:dyDescent="0.2">
      <c r="A6" s="161" t="s">
        <v>19</v>
      </c>
      <c r="B6" s="162"/>
      <c r="C6" s="163"/>
      <c r="D6" s="104"/>
      <c r="E6" s="161" t="s">
        <v>20</v>
      </c>
      <c r="F6" s="162"/>
      <c r="G6" s="164"/>
      <c r="H6" s="165" t="s">
        <v>21</v>
      </c>
      <c r="I6" s="22"/>
      <c r="J6" s="22"/>
    </row>
    <row r="7" spans="1:18" x14ac:dyDescent="0.2">
      <c r="I7" s="23"/>
      <c r="J7" s="23"/>
    </row>
    <row r="8" spans="1:18" ht="25.5" x14ac:dyDescent="0.2">
      <c r="A8" s="166" t="s">
        <v>22</v>
      </c>
      <c r="B8" s="167" t="s">
        <v>23</v>
      </c>
      <c r="C8" s="168" t="s">
        <v>24</v>
      </c>
      <c r="D8" s="168"/>
      <c r="E8" s="166" t="s">
        <v>22</v>
      </c>
      <c r="F8" s="167" t="s">
        <v>23</v>
      </c>
      <c r="G8" s="169" t="s">
        <v>24</v>
      </c>
      <c r="H8" s="168"/>
      <c r="I8" s="24"/>
      <c r="J8" s="24" t="s">
        <v>370</v>
      </c>
    </row>
    <row r="9" spans="1:18" x14ac:dyDescent="0.2">
      <c r="A9" s="60"/>
      <c r="B9" s="170"/>
      <c r="C9" s="171"/>
      <c r="D9" s="171"/>
      <c r="E9" s="60"/>
      <c r="F9" s="170"/>
      <c r="G9" s="172"/>
      <c r="H9" s="171"/>
      <c r="I9" s="25"/>
      <c r="J9" s="25"/>
      <c r="P9" s="275" t="s">
        <v>331</v>
      </c>
      <c r="Q9" s="276"/>
      <c r="R9" s="277"/>
    </row>
    <row r="10" spans="1:18" x14ac:dyDescent="0.2">
      <c r="A10" s="173">
        <v>10</v>
      </c>
      <c r="B10" s="174">
        <v>12</v>
      </c>
      <c r="C10" s="32">
        <v>-1</v>
      </c>
      <c r="D10" s="32"/>
      <c r="E10" s="174"/>
      <c r="F10" s="174">
        <v>12</v>
      </c>
      <c r="G10" s="175"/>
      <c r="H10" s="28"/>
      <c r="I10" s="23"/>
      <c r="J10" s="23"/>
      <c r="P10" s="10" t="s">
        <v>329</v>
      </c>
      <c r="Q10" s="10" t="s">
        <v>330</v>
      </c>
      <c r="R10" s="10" t="s">
        <v>1</v>
      </c>
    </row>
    <row r="11" spans="1:18" x14ac:dyDescent="0.2">
      <c r="A11" s="155"/>
      <c r="B11" s="155"/>
      <c r="E11" s="155"/>
      <c r="F11" s="155"/>
      <c r="H11" s="26"/>
      <c r="I11" s="23"/>
      <c r="J11" s="23"/>
      <c r="P11" s="135">
        <v>74383</v>
      </c>
      <c r="Q11" s="135">
        <v>273974</v>
      </c>
      <c r="R11" s="120">
        <f>P11+Q11</f>
        <v>348357</v>
      </c>
    </row>
    <row r="12" spans="1:18" x14ac:dyDescent="0.2">
      <c r="A12" s="177">
        <v>20</v>
      </c>
      <c r="B12" s="31">
        <v>107</v>
      </c>
      <c r="C12" s="27">
        <f>'Composite FY17'!M36+'Composite FY17'!O36</f>
        <v>0.11269999999999999</v>
      </c>
      <c r="D12" s="27"/>
      <c r="E12" s="31">
        <v>20</v>
      </c>
      <c r="F12" s="31">
        <v>107</v>
      </c>
      <c r="G12" s="178">
        <f>-SUM(G13:G14)</f>
        <v>-1</v>
      </c>
      <c r="H12" s="176"/>
      <c r="I12" s="23"/>
      <c r="J12" s="23"/>
      <c r="P12" s="273">
        <f>P11/R11</f>
        <v>0.21352520546450912</v>
      </c>
      <c r="Q12" s="273">
        <f>Q11/R11</f>
        <v>0.78647479453549085</v>
      </c>
    </row>
    <row r="13" spans="1:18" x14ac:dyDescent="0.2">
      <c r="A13" s="179">
        <v>20</v>
      </c>
      <c r="B13" s="180">
        <v>107</v>
      </c>
      <c r="C13" s="28">
        <f>C12</f>
        <v>0.11269999999999999</v>
      </c>
      <c r="D13" s="28"/>
      <c r="E13" s="180">
        <v>20</v>
      </c>
      <c r="F13" s="180">
        <v>7</v>
      </c>
      <c r="G13" s="181">
        <f>P12</f>
        <v>0.21352520546450912</v>
      </c>
      <c r="H13" s="176"/>
      <c r="I13" s="29"/>
      <c r="J13" s="29">
        <f>'Composite FY17'!M36</f>
        <v>2.41E-2</v>
      </c>
    </row>
    <row r="14" spans="1:18" x14ac:dyDescent="0.2">
      <c r="A14" s="182">
        <v>20</v>
      </c>
      <c r="B14" s="183">
        <v>107</v>
      </c>
      <c r="C14" s="30">
        <f>C13</f>
        <v>0.11269999999999999</v>
      </c>
      <c r="D14" s="30"/>
      <c r="E14" s="183">
        <v>20</v>
      </c>
      <c r="F14" s="183">
        <v>77</v>
      </c>
      <c r="G14" s="184">
        <f>Q12</f>
        <v>0.78647479453549085</v>
      </c>
      <c r="H14" s="176"/>
      <c r="I14" s="29"/>
      <c r="J14" s="29">
        <f>'Composite FY17'!O36</f>
        <v>8.8599999999999998E-2</v>
      </c>
    </row>
    <row r="15" spans="1:18" x14ac:dyDescent="0.2">
      <c r="A15" s="155"/>
      <c r="B15" s="155"/>
      <c r="E15" s="155"/>
      <c r="F15" s="155"/>
      <c r="H15" s="106"/>
      <c r="I15" s="29"/>
      <c r="J15" s="29"/>
    </row>
    <row r="16" spans="1:18" x14ac:dyDescent="0.2">
      <c r="A16" s="177">
        <v>30</v>
      </c>
      <c r="B16" s="31">
        <v>10</v>
      </c>
      <c r="C16" s="27">
        <f>'Composite FY17'!I36</f>
        <v>9.6999999999999975E-2</v>
      </c>
      <c r="D16" s="27"/>
      <c r="E16" s="31">
        <v>30</v>
      </c>
      <c r="F16" s="31">
        <v>10</v>
      </c>
      <c r="G16" s="178">
        <v>-1</v>
      </c>
      <c r="H16" s="176"/>
      <c r="I16" s="29"/>
      <c r="J16" s="29"/>
    </row>
    <row r="17" spans="1:10" x14ac:dyDescent="0.2">
      <c r="A17" s="179">
        <v>30</v>
      </c>
      <c r="B17" s="180">
        <v>10</v>
      </c>
      <c r="C17" s="28">
        <f t="shared" ref="C17:C33" si="0">C16</f>
        <v>9.6999999999999975E-2</v>
      </c>
      <c r="D17" s="28"/>
      <c r="E17" s="180">
        <v>30</v>
      </c>
      <c r="F17" s="180">
        <v>1</v>
      </c>
      <c r="G17" s="181">
        <f>+'West Texas FY17'!H11</f>
        <v>0</v>
      </c>
      <c r="H17" s="176"/>
      <c r="I17" s="29"/>
      <c r="J17" s="29">
        <f>ROUND(+C17*G17,8)</f>
        <v>0</v>
      </c>
    </row>
    <row r="18" spans="1:10" x14ac:dyDescent="0.2">
      <c r="A18" s="179">
        <v>30</v>
      </c>
      <c r="B18" s="180">
        <v>10</v>
      </c>
      <c r="C18" s="28">
        <f t="shared" si="0"/>
        <v>9.6999999999999975E-2</v>
      </c>
      <c r="D18" s="28"/>
      <c r="E18" s="180">
        <v>30</v>
      </c>
      <c r="F18" s="180">
        <v>3</v>
      </c>
      <c r="G18" s="181">
        <f>+'West Texas FY17'!H12</f>
        <v>0.23216877963805285</v>
      </c>
      <c r="H18" s="176"/>
      <c r="I18" s="29"/>
      <c r="J18" s="29">
        <f>C16-SUM(J17+J19+J20+J21+J22+J23+J24+J25+J26+J27+J28+J29+J30+J31+J32+J33)</f>
        <v>2.2520379999999979E-2</v>
      </c>
    </row>
    <row r="19" spans="1:10" x14ac:dyDescent="0.2">
      <c r="A19" s="179">
        <v>30</v>
      </c>
      <c r="B19" s="180">
        <v>10</v>
      </c>
      <c r="C19" s="28">
        <f t="shared" si="0"/>
        <v>9.6999999999999975E-2</v>
      </c>
      <c r="D19" s="28"/>
      <c r="E19" s="180">
        <v>30</v>
      </c>
      <c r="F19" s="180">
        <v>4</v>
      </c>
      <c r="G19" s="181">
        <f>+'West Texas FY17'!H13</f>
        <v>3.8143610861751938E-3</v>
      </c>
      <c r="H19" s="176"/>
      <c r="I19" s="29"/>
      <c r="J19" s="29">
        <f t="shared" ref="J19:J33" si="1">ROUND(+C19*G19,8)</f>
        <v>3.6999E-4</v>
      </c>
    </row>
    <row r="20" spans="1:10" x14ac:dyDescent="0.2">
      <c r="A20" s="179">
        <v>30</v>
      </c>
      <c r="B20" s="180">
        <v>10</v>
      </c>
      <c r="C20" s="28">
        <f t="shared" si="0"/>
        <v>9.6999999999999975E-2</v>
      </c>
      <c r="D20" s="28"/>
      <c r="E20" s="180">
        <v>30</v>
      </c>
      <c r="F20" s="180">
        <v>5</v>
      </c>
      <c r="G20" s="181">
        <f>+'West Texas FY17'!H14</f>
        <v>0.45199344583974344</v>
      </c>
      <c r="H20" s="176"/>
      <c r="I20" s="29"/>
      <c r="J20" s="29">
        <f t="shared" si="1"/>
        <v>4.3843359999999998E-2</v>
      </c>
    </row>
    <row r="21" spans="1:10" x14ac:dyDescent="0.2">
      <c r="A21" s="179">
        <v>30</v>
      </c>
      <c r="B21" s="180">
        <v>10</v>
      </c>
      <c r="C21" s="28">
        <f t="shared" si="0"/>
        <v>9.6999999999999975E-2</v>
      </c>
      <c r="D21" s="28"/>
      <c r="E21" s="180">
        <v>30</v>
      </c>
      <c r="F21" s="180">
        <v>6</v>
      </c>
      <c r="G21" s="181">
        <f>+'West Texas FY17'!H15</f>
        <v>6.8745265420130349E-3</v>
      </c>
      <c r="H21" s="176"/>
      <c r="I21" s="29"/>
      <c r="J21" s="29">
        <f t="shared" si="1"/>
        <v>6.6682999999999998E-4</v>
      </c>
    </row>
    <row r="22" spans="1:10" x14ac:dyDescent="0.2">
      <c r="A22" s="179">
        <v>30</v>
      </c>
      <c r="B22" s="188">
        <v>10</v>
      </c>
      <c r="C22" s="28">
        <f>C21</f>
        <v>9.6999999999999975E-2</v>
      </c>
      <c r="D22" s="28"/>
      <c r="E22" s="180">
        <v>30</v>
      </c>
      <c r="F22" s="180">
        <v>8</v>
      </c>
      <c r="G22" s="181">
        <f>+'West Texas FY17'!H16</f>
        <v>3.2370343425983707E-4</v>
      </c>
      <c r="H22" s="176"/>
      <c r="I22" s="29"/>
      <c r="J22" s="29">
        <f t="shared" si="1"/>
        <v>3.1399999999999998E-5</v>
      </c>
    </row>
    <row r="23" spans="1:10" x14ac:dyDescent="0.2">
      <c r="A23" s="179">
        <v>30</v>
      </c>
      <c r="B23" s="180">
        <v>10</v>
      </c>
      <c r="C23" s="28">
        <f>C21</f>
        <v>9.6999999999999975E-2</v>
      </c>
      <c r="D23" s="28"/>
      <c r="E23" s="180">
        <v>30</v>
      </c>
      <c r="F23" s="180">
        <v>11</v>
      </c>
      <c r="G23" s="181">
        <f>+'West Texas FY17'!H17</f>
        <v>0</v>
      </c>
      <c r="H23" s="176"/>
      <c r="I23" s="29"/>
      <c r="J23" s="29">
        <f t="shared" si="1"/>
        <v>0</v>
      </c>
    </row>
    <row r="24" spans="1:10" x14ac:dyDescent="0.2">
      <c r="A24" s="179">
        <v>30</v>
      </c>
      <c r="B24" s="180">
        <v>10</v>
      </c>
      <c r="C24" s="28">
        <f t="shared" si="0"/>
        <v>9.6999999999999975E-2</v>
      </c>
      <c r="D24" s="28"/>
      <c r="E24" s="180">
        <v>30</v>
      </c>
      <c r="F24" s="180">
        <v>13</v>
      </c>
      <c r="G24" s="181">
        <f>+'West Texas FY17'!H18</f>
        <v>8.9201987605829324E-3</v>
      </c>
      <c r="H24" s="176"/>
      <c r="I24" s="29"/>
      <c r="J24" s="29">
        <f t="shared" si="1"/>
        <v>8.6525999999999997E-4</v>
      </c>
    </row>
    <row r="25" spans="1:10" x14ac:dyDescent="0.2">
      <c r="A25" s="179">
        <v>30</v>
      </c>
      <c r="B25" s="180">
        <v>10</v>
      </c>
      <c r="C25" s="28">
        <f t="shared" si="0"/>
        <v>9.6999999999999975E-2</v>
      </c>
      <c r="D25" s="28"/>
      <c r="E25" s="180">
        <v>30</v>
      </c>
      <c r="F25" s="180">
        <v>14</v>
      </c>
      <c r="G25" s="181">
        <f>+'West Texas FY17'!H19</f>
        <v>0</v>
      </c>
      <c r="H25" s="176"/>
      <c r="I25" s="29"/>
      <c r="J25" s="29">
        <f t="shared" si="1"/>
        <v>0</v>
      </c>
    </row>
    <row r="26" spans="1:10" x14ac:dyDescent="0.2">
      <c r="A26" s="179">
        <v>30</v>
      </c>
      <c r="B26" s="180">
        <v>10</v>
      </c>
      <c r="C26" s="28">
        <f t="shared" si="0"/>
        <v>9.6999999999999975E-2</v>
      </c>
      <c r="D26" s="28"/>
      <c r="E26" s="180">
        <v>30</v>
      </c>
      <c r="F26" s="180">
        <v>15</v>
      </c>
      <c r="G26" s="181">
        <f>+'West Texas FY17'!H20</f>
        <v>0</v>
      </c>
      <c r="H26" s="176"/>
      <c r="I26" s="29"/>
      <c r="J26" s="29">
        <f t="shared" si="1"/>
        <v>0</v>
      </c>
    </row>
    <row r="27" spans="1:10" x14ac:dyDescent="0.2">
      <c r="A27" s="179">
        <v>30</v>
      </c>
      <c r="B27" s="180">
        <v>10</v>
      </c>
      <c r="C27" s="28">
        <f t="shared" si="0"/>
        <v>9.6999999999999975E-2</v>
      </c>
      <c r="D27" s="28"/>
      <c r="E27" s="180">
        <v>30</v>
      </c>
      <c r="F27" s="180">
        <v>16</v>
      </c>
      <c r="G27" s="181">
        <f>+'West Texas FY17'!H21</f>
        <v>0.23188178484066782</v>
      </c>
      <c r="H27" s="176"/>
      <c r="I27" s="29"/>
      <c r="J27" s="29">
        <f t="shared" si="1"/>
        <v>2.249253E-2</v>
      </c>
    </row>
    <row r="28" spans="1:10" x14ac:dyDescent="0.2">
      <c r="A28" s="179">
        <v>30</v>
      </c>
      <c r="B28" s="180">
        <v>10</v>
      </c>
      <c r="C28" s="28">
        <f t="shared" si="0"/>
        <v>9.6999999999999975E-2</v>
      </c>
      <c r="D28" s="28"/>
      <c r="E28" s="180">
        <v>30</v>
      </c>
      <c r="F28" s="180">
        <v>17</v>
      </c>
      <c r="G28" s="181">
        <f>+'West Texas FY17'!H22</f>
        <v>0</v>
      </c>
      <c r="H28" s="176"/>
      <c r="I28" s="29"/>
      <c r="J28" s="29">
        <f t="shared" si="1"/>
        <v>0</v>
      </c>
    </row>
    <row r="29" spans="1:10" x14ac:dyDescent="0.2">
      <c r="A29" s="179">
        <v>30</v>
      </c>
      <c r="B29" s="180">
        <v>10</v>
      </c>
      <c r="C29" s="28">
        <f t="shared" si="0"/>
        <v>9.6999999999999975E-2</v>
      </c>
      <c r="D29" s="28"/>
      <c r="E29" s="180">
        <v>30</v>
      </c>
      <c r="F29" s="180">
        <v>18</v>
      </c>
      <c r="G29" s="181">
        <f>+'West Texas FY17'!H23</f>
        <v>5.2726951147478616E-4</v>
      </c>
      <c r="H29" s="176"/>
      <c r="I29" s="29"/>
      <c r="J29" s="29">
        <f t="shared" si="1"/>
        <v>5.1150000000000003E-5</v>
      </c>
    </row>
    <row r="30" spans="1:10" x14ac:dyDescent="0.2">
      <c r="A30" s="179">
        <v>30</v>
      </c>
      <c r="B30" s="180">
        <v>10</v>
      </c>
      <c r="C30" s="28">
        <f t="shared" si="0"/>
        <v>9.6999999999999975E-2</v>
      </c>
      <c r="D30" s="28"/>
      <c r="E30" s="180">
        <v>30</v>
      </c>
      <c r="F30" s="180">
        <v>19</v>
      </c>
      <c r="G30" s="181">
        <f>+'West Texas FY17'!H24</f>
        <v>4.0045785681629328E-5</v>
      </c>
      <c r="H30" s="185"/>
      <c r="I30" s="29"/>
      <c r="J30" s="29">
        <f t="shared" si="1"/>
        <v>3.8800000000000001E-6</v>
      </c>
    </row>
    <row r="31" spans="1:10" x14ac:dyDescent="0.2">
      <c r="A31" s="179">
        <v>30</v>
      </c>
      <c r="B31" s="180">
        <v>10</v>
      </c>
      <c r="C31" s="28">
        <f t="shared" si="0"/>
        <v>9.6999999999999975E-2</v>
      </c>
      <c r="D31" s="28"/>
      <c r="E31" s="180">
        <v>30</v>
      </c>
      <c r="F31" s="180">
        <v>20</v>
      </c>
      <c r="G31" s="181">
        <f>+'West Texas FY17'!H25</f>
        <v>1.6482177956797271E-2</v>
      </c>
      <c r="H31" s="176"/>
      <c r="I31" s="29"/>
      <c r="J31" s="29">
        <f t="shared" si="1"/>
        <v>1.59877E-3</v>
      </c>
    </row>
    <row r="32" spans="1:10" x14ac:dyDescent="0.2">
      <c r="A32" s="179">
        <v>30</v>
      </c>
      <c r="B32" s="180">
        <v>10</v>
      </c>
      <c r="C32" s="28">
        <f t="shared" si="0"/>
        <v>9.6999999999999975E-2</v>
      </c>
      <c r="D32" s="28"/>
      <c r="E32" s="180">
        <v>30</v>
      </c>
      <c r="F32" s="180">
        <v>21</v>
      </c>
      <c r="G32" s="181">
        <f>+'West Texas FY17'!H26</f>
        <v>4.6973706604551205E-2</v>
      </c>
      <c r="H32" s="176"/>
      <c r="I32" s="29"/>
      <c r="J32" s="29">
        <f t="shared" si="1"/>
        <v>4.5564500000000001E-3</v>
      </c>
    </row>
    <row r="33" spans="1:10" x14ac:dyDescent="0.2">
      <c r="A33" s="182">
        <v>30</v>
      </c>
      <c r="B33" s="183">
        <v>10</v>
      </c>
      <c r="C33" s="30">
        <f t="shared" si="0"/>
        <v>9.6999999999999975E-2</v>
      </c>
      <c r="D33" s="30"/>
      <c r="E33" s="183">
        <v>30</v>
      </c>
      <c r="F33" s="183">
        <v>40</v>
      </c>
      <c r="G33" s="184">
        <f>+'West Texas FY17'!H27</f>
        <v>0</v>
      </c>
      <c r="H33" s="176"/>
      <c r="I33" s="29"/>
      <c r="J33" s="29">
        <f t="shared" si="1"/>
        <v>0</v>
      </c>
    </row>
    <row r="34" spans="1:10" x14ac:dyDescent="0.2">
      <c r="A34" s="180"/>
      <c r="B34" s="180"/>
      <c r="C34" s="28"/>
      <c r="D34" s="28"/>
      <c r="E34" s="180"/>
      <c r="F34" s="180"/>
      <c r="G34" s="176"/>
      <c r="H34" s="176"/>
      <c r="I34" s="29"/>
      <c r="J34" s="29"/>
    </row>
    <row r="35" spans="1:10" x14ac:dyDescent="0.2">
      <c r="A35" s="179">
        <v>50</v>
      </c>
      <c r="B35" s="180">
        <v>91</v>
      </c>
      <c r="C35" s="28">
        <f>'Composite FY17'!Q36</f>
        <v>0.10929999999999999</v>
      </c>
      <c r="D35" s="28"/>
      <c r="E35" s="180">
        <v>50</v>
      </c>
      <c r="F35" s="180">
        <v>91</v>
      </c>
      <c r="G35" s="181">
        <v>-1</v>
      </c>
      <c r="H35" s="176"/>
      <c r="I35" s="29"/>
      <c r="J35" s="29"/>
    </row>
    <row r="36" spans="1:10" x14ac:dyDescent="0.2">
      <c r="A36" s="179">
        <v>50</v>
      </c>
      <c r="B36" s="180">
        <v>91</v>
      </c>
      <c r="C36" s="28">
        <f>C35</f>
        <v>0.10929999999999999</v>
      </c>
      <c r="D36" s="28"/>
      <c r="E36" s="180">
        <v>50</v>
      </c>
      <c r="F36" s="180">
        <v>9</v>
      </c>
      <c r="G36" s="181">
        <f>'Mid States FY17'!H10/100</f>
        <v>0.51883860656465508</v>
      </c>
      <c r="H36" s="176"/>
      <c r="I36" s="29"/>
      <c r="J36" s="29">
        <f>C36-SUM(J37:J38)</f>
        <v>5.6709059999999999E-2</v>
      </c>
    </row>
    <row r="37" spans="1:10" x14ac:dyDescent="0.2">
      <c r="A37" s="179">
        <v>50</v>
      </c>
      <c r="B37" s="180">
        <v>91</v>
      </c>
      <c r="C37" s="28">
        <f>C36</f>
        <v>0.10929999999999999</v>
      </c>
      <c r="D37" s="28"/>
      <c r="E37" s="180">
        <v>50</v>
      </c>
      <c r="F37" s="180">
        <v>93</v>
      </c>
      <c r="G37" s="181">
        <f>'Mid States FY17'!H11/100</f>
        <v>0.41349335543256283</v>
      </c>
      <c r="H37" s="176"/>
      <c r="I37" s="29"/>
      <c r="J37" s="29">
        <f t="shared" ref="J37:J38" si="2">ROUND(+C37*G37,8)</f>
        <v>4.5194819999999997E-2</v>
      </c>
    </row>
    <row r="38" spans="1:10" x14ac:dyDescent="0.2">
      <c r="A38" s="179">
        <v>50</v>
      </c>
      <c r="B38" s="180">
        <v>91</v>
      </c>
      <c r="C38" s="28">
        <f>C37</f>
        <v>0.10929999999999999</v>
      </c>
      <c r="D38" s="28"/>
      <c r="E38" s="180">
        <v>50</v>
      </c>
      <c r="F38" s="180">
        <v>96</v>
      </c>
      <c r="G38" s="181">
        <f>'Mid States FY17'!H12/100</f>
        <v>6.7668038002782135E-2</v>
      </c>
      <c r="H38" s="176"/>
      <c r="I38" s="29"/>
      <c r="J38" s="29">
        <f t="shared" si="2"/>
        <v>7.39612E-3</v>
      </c>
    </row>
    <row r="39" spans="1:10" x14ac:dyDescent="0.2">
      <c r="A39" s="155"/>
      <c r="B39" s="155"/>
      <c r="E39" s="155"/>
      <c r="F39" s="155"/>
      <c r="H39" s="106"/>
      <c r="I39" s="23"/>
      <c r="J39" s="23"/>
    </row>
    <row r="40" spans="1:10" x14ac:dyDescent="0.2">
      <c r="A40" s="177">
        <v>60</v>
      </c>
      <c r="B40" s="31">
        <v>30</v>
      </c>
      <c r="C40" s="27">
        <f>'Composite FY17'!K36</f>
        <v>8.0699999999999994E-2</v>
      </c>
      <c r="D40" s="27"/>
      <c r="E40" s="31">
        <v>60</v>
      </c>
      <c r="F40" s="31">
        <v>30</v>
      </c>
      <c r="G40" s="178">
        <v>-1</v>
      </c>
      <c r="H40" s="176"/>
      <c r="I40" s="23"/>
      <c r="J40" s="23"/>
    </row>
    <row r="41" spans="1:10" x14ac:dyDescent="0.2">
      <c r="A41" s="179">
        <v>60</v>
      </c>
      <c r="B41" s="180">
        <v>30</v>
      </c>
      <c r="C41" s="28">
        <f>C40</f>
        <v>8.0699999999999994E-2</v>
      </c>
      <c r="D41" s="28"/>
      <c r="E41" s="180">
        <v>60</v>
      </c>
      <c r="F41" s="180">
        <v>31</v>
      </c>
      <c r="G41" s="181">
        <f>'CO KS FY17'!H11</f>
        <v>0.46963836975820511</v>
      </c>
      <c r="H41" s="176"/>
      <c r="I41" s="29"/>
      <c r="J41" s="29">
        <f>ROUND(+C41*G41,8)</f>
        <v>3.7899820000000001E-2</v>
      </c>
    </row>
    <row r="42" spans="1:10" x14ac:dyDescent="0.2">
      <c r="A42" s="182">
        <v>60</v>
      </c>
      <c r="B42" s="183">
        <v>30</v>
      </c>
      <c r="C42" s="30">
        <f>C41</f>
        <v>8.0699999999999994E-2</v>
      </c>
      <c r="D42" s="30"/>
      <c r="E42" s="183">
        <v>60</v>
      </c>
      <c r="F42" s="183">
        <v>81</v>
      </c>
      <c r="G42" s="184">
        <f>'CO KS FY17'!H12</f>
        <v>0.53036163024179483</v>
      </c>
      <c r="H42" s="176"/>
      <c r="I42" s="29"/>
      <c r="J42" s="29">
        <f>C42-SUM(J41:J41)</f>
        <v>4.2800179999999993E-2</v>
      </c>
    </row>
    <row r="43" spans="1:10" x14ac:dyDescent="0.2">
      <c r="A43" s="155"/>
      <c r="B43" s="155"/>
      <c r="E43" s="155"/>
      <c r="F43" s="155"/>
      <c r="H43" s="106"/>
      <c r="I43" s="23"/>
      <c r="J43" s="23"/>
    </row>
    <row r="44" spans="1:10" x14ac:dyDescent="0.2">
      <c r="A44" s="173">
        <v>70</v>
      </c>
      <c r="B44" s="174">
        <v>170</v>
      </c>
      <c r="C44" s="32">
        <f>'Composite FY17'!S36</f>
        <v>8.0199999999999994E-2</v>
      </c>
      <c r="D44" s="32"/>
      <c r="E44" s="174"/>
      <c r="F44" s="174">
        <v>170</v>
      </c>
      <c r="G44" s="175"/>
      <c r="H44" s="176"/>
      <c r="I44" s="29"/>
      <c r="J44" s="29">
        <f>ROUND(+C44,8)</f>
        <v>8.0199999999999994E-2</v>
      </c>
    </row>
    <row r="45" spans="1:10" x14ac:dyDescent="0.2">
      <c r="A45" s="155"/>
      <c r="B45" s="155"/>
      <c r="E45" s="155"/>
      <c r="F45" s="155"/>
      <c r="H45" s="106"/>
      <c r="I45" s="23"/>
      <c r="J45" s="23"/>
    </row>
    <row r="46" spans="1:10" x14ac:dyDescent="0.2">
      <c r="A46" s="155">
        <v>80</v>
      </c>
      <c r="B46" s="155">
        <v>190</v>
      </c>
      <c r="C46" s="26">
        <f>'Composite FY17'!U36</f>
        <v>0.52010000000000001</v>
      </c>
      <c r="E46" s="155"/>
      <c r="F46" s="155">
        <v>190</v>
      </c>
      <c r="H46" s="106"/>
      <c r="I46" s="29"/>
      <c r="J46" s="29">
        <f>1-SUM(J13:J44)</f>
        <v>0.52010000000000001</v>
      </c>
    </row>
    <row r="47" spans="1:10" x14ac:dyDescent="0.2">
      <c r="A47" s="155"/>
      <c r="B47" s="155"/>
      <c r="E47" s="155"/>
      <c r="F47" s="155"/>
      <c r="H47" s="187"/>
      <c r="I47" s="23"/>
      <c r="J47" s="23"/>
    </row>
    <row r="48" spans="1:10" x14ac:dyDescent="0.2">
      <c r="A48" s="10" t="s">
        <v>1</v>
      </c>
      <c r="B48" s="155"/>
      <c r="C48" s="377">
        <f>C12+C16+C35+C40+C44+C46</f>
        <v>1</v>
      </c>
      <c r="E48" s="155"/>
      <c r="F48" s="155"/>
      <c r="I48" s="33"/>
      <c r="J48" s="33">
        <f>SUM(J13:J46)</f>
        <v>1</v>
      </c>
    </row>
    <row r="49" spans="2:6" x14ac:dyDescent="0.2">
      <c r="B49" s="155"/>
      <c r="E49" s="155"/>
      <c r="F49" s="155"/>
    </row>
  </sheetData>
  <phoneticPr fontId="10" type="noConversion"/>
  <printOptions horizontalCentered="1"/>
  <pageMargins left="0.25" right="0.25" top="0.25" bottom="0.75" header="0.3" footer="0.3"/>
  <pageSetup scale="83" orientation="landscape" horizontalDpi="4294967294" verticalDpi="4294967294" r:id="rId1"/>
  <headerFooter alignWithMargins="0">
    <oddFooter>&amp;C&amp;Z&amp;F
&amp;A</oddFooter>
  </headerFooter>
  <rowBreaks count="1" manualBreakCount="1">
    <brk id="4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C00000"/>
    <pageSetUpPr fitToPage="1"/>
  </sheetPr>
  <dimension ref="A1:H16"/>
  <sheetViews>
    <sheetView workbookViewId="0">
      <selection activeCell="A5" sqref="A5"/>
    </sheetView>
  </sheetViews>
  <sheetFormatPr defaultColWidth="9.140625" defaultRowHeight="15.75" x14ac:dyDescent="0.25"/>
  <cols>
    <col min="1" max="1" width="33.28515625" style="138" bestFit="1" customWidth="1"/>
    <col min="2" max="2" width="16.5703125" style="138" bestFit="1" customWidth="1"/>
    <col min="3" max="3" width="16.5703125" style="138" customWidth="1"/>
    <col min="4" max="4" width="14.85546875" style="138" bestFit="1" customWidth="1"/>
    <col min="5" max="5" width="9.140625" style="138"/>
    <col min="6" max="6" width="11.5703125" style="138" bestFit="1" customWidth="1"/>
    <col min="7" max="16384" width="9.140625" style="138"/>
  </cols>
  <sheetData>
    <row r="1" spans="1:8" x14ac:dyDescent="0.25">
      <c r="B1" s="138" t="s">
        <v>110</v>
      </c>
      <c r="C1" s="138" t="s">
        <v>111</v>
      </c>
      <c r="D1" s="138" t="s">
        <v>112</v>
      </c>
    </row>
    <row r="2" spans="1:8" x14ac:dyDescent="0.25">
      <c r="A2" s="136" t="s">
        <v>104</v>
      </c>
      <c r="B2" s="137">
        <f>'Summary WTX'!O22</f>
        <v>299655.58333333331</v>
      </c>
      <c r="C2" s="137"/>
      <c r="D2" s="137">
        <f t="shared" ref="D2:D10" si="0">B2+C2</f>
        <v>299655.58333333331</v>
      </c>
      <c r="F2" s="137"/>
      <c r="H2" s="137"/>
    </row>
    <row r="3" spans="1:8" x14ac:dyDescent="0.25">
      <c r="A3" s="136" t="s">
        <v>106</v>
      </c>
      <c r="B3" s="137">
        <f>'Summary CO-KS'!G22</f>
        <v>249509.25</v>
      </c>
      <c r="C3" s="137"/>
      <c r="D3" s="137">
        <f t="shared" si="0"/>
        <v>249509.25</v>
      </c>
      <c r="F3" s="137"/>
      <c r="H3" s="137"/>
    </row>
    <row r="4" spans="1:8" x14ac:dyDescent="0.25">
      <c r="A4" s="136" t="s">
        <v>103</v>
      </c>
      <c r="B4" s="137">
        <f>'Summary LA'!B22</f>
        <v>74383.416666666672</v>
      </c>
      <c r="C4" s="137">
        <f>'Summary LA'!C22</f>
        <v>273973.91666666669</v>
      </c>
      <c r="D4" s="137">
        <f t="shared" si="0"/>
        <v>348357.33333333337</v>
      </c>
      <c r="F4" s="137"/>
      <c r="H4" s="137"/>
    </row>
    <row r="5" spans="1:8" x14ac:dyDescent="0.25">
      <c r="A5" s="136" t="s">
        <v>105</v>
      </c>
      <c r="B5" s="137">
        <f>'Summary Kentucky-Midstates'!E22</f>
        <v>337869.5</v>
      </c>
      <c r="C5" s="137"/>
      <c r="D5" s="137">
        <f t="shared" si="0"/>
        <v>337869.5</v>
      </c>
      <c r="F5" s="137"/>
      <c r="H5" s="137"/>
    </row>
    <row r="6" spans="1:8" x14ac:dyDescent="0.25">
      <c r="A6" s="136" t="s">
        <v>107</v>
      </c>
      <c r="B6" s="137">
        <f>'Summary MS'!B22</f>
        <v>247834.75</v>
      </c>
      <c r="C6" s="137"/>
      <c r="D6" s="137">
        <f t="shared" si="0"/>
        <v>247834.75</v>
      </c>
      <c r="F6" s="137"/>
      <c r="H6" s="137"/>
    </row>
    <row r="7" spans="1:8" x14ac:dyDescent="0.25">
      <c r="A7" s="136" t="s">
        <v>108</v>
      </c>
      <c r="B7" s="137">
        <f>'Summary Mid Tex'!B22</f>
        <v>1607562.9166666667</v>
      </c>
      <c r="C7" s="137"/>
      <c r="D7" s="137">
        <f t="shared" si="0"/>
        <v>1607562.9166666667</v>
      </c>
      <c r="F7" s="137"/>
      <c r="H7" s="137"/>
    </row>
    <row r="8" spans="1:8" x14ac:dyDescent="0.25">
      <c r="A8" s="136" t="s">
        <v>109</v>
      </c>
      <c r="B8" s="137">
        <f>'Summary AtmosPipeline'!D18</f>
        <v>315.75</v>
      </c>
      <c r="C8" s="137"/>
      <c r="D8" s="137">
        <f t="shared" si="0"/>
        <v>315.75</v>
      </c>
      <c r="F8" s="137"/>
      <c r="H8" s="137"/>
    </row>
    <row r="9" spans="1:8" x14ac:dyDescent="0.25">
      <c r="A9" s="136" t="s">
        <v>84</v>
      </c>
      <c r="B9" s="137">
        <f>Houston!I25</f>
        <v>1092.75</v>
      </c>
      <c r="C9" s="137"/>
      <c r="D9" s="137">
        <f t="shared" si="0"/>
        <v>1092.75</v>
      </c>
      <c r="H9" s="137"/>
    </row>
    <row r="10" spans="1:8" x14ac:dyDescent="0.25">
      <c r="A10" s="138" t="s">
        <v>87</v>
      </c>
      <c r="B10" s="138">
        <v>13</v>
      </c>
      <c r="D10" s="137">
        <f t="shared" si="0"/>
        <v>13</v>
      </c>
      <c r="H10" s="137"/>
    </row>
    <row r="11" spans="1:8" x14ac:dyDescent="0.25">
      <c r="A11" s="138" t="s">
        <v>1</v>
      </c>
      <c r="B11" s="152">
        <f>SUM(B2:B10)</f>
        <v>2818236.916666667</v>
      </c>
      <c r="C11" s="152">
        <f>SUM(C2:C10)</f>
        <v>273973.91666666669</v>
      </c>
      <c r="D11" s="152">
        <f>SUM(D2:D10)</f>
        <v>3092210.833333333</v>
      </c>
    </row>
    <row r="13" spans="1:8" x14ac:dyDescent="0.25">
      <c r="B13" s="137"/>
      <c r="C13" s="137"/>
      <c r="D13" s="137"/>
      <c r="F13" s="137"/>
      <c r="G13" s="137"/>
    </row>
    <row r="15" spans="1:8" x14ac:dyDescent="0.25">
      <c r="D15" s="137"/>
    </row>
    <row r="16" spans="1:8" x14ac:dyDescent="0.25">
      <c r="D16" s="137"/>
    </row>
  </sheetData>
  <phoneticPr fontId="0" type="noConversion"/>
  <pageMargins left="0.7" right="0.7" top="0.75" bottom="0.75" header="0.3" footer="0.3"/>
  <pageSetup orientation="landscape" horizontalDpi="4294967294" verticalDpi="4294967294"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C00000"/>
  </sheetPr>
  <dimension ref="A1:O22"/>
  <sheetViews>
    <sheetView workbookViewId="0">
      <pane xSplit="1" ySplit="7" topLeftCell="E8" activePane="bottomRight" state="frozen"/>
      <selection activeCell="A5" sqref="A5"/>
      <selection pane="topRight" activeCell="A5" sqref="A5"/>
      <selection pane="bottomLeft" activeCell="A5" sqref="A5"/>
      <selection pane="bottomRight" activeCell="J20" sqref="J20"/>
    </sheetView>
  </sheetViews>
  <sheetFormatPr defaultRowHeight="12.75" x14ac:dyDescent="0.2"/>
  <cols>
    <col min="1" max="1" width="16" customWidth="1"/>
    <col min="2" max="2" width="14.7109375" bestFit="1" customWidth="1"/>
    <col min="3" max="3" width="14.85546875" bestFit="1" customWidth="1"/>
    <col min="4" max="4" width="14.7109375" bestFit="1" customWidth="1"/>
    <col min="5" max="5" width="14.28515625" bestFit="1" customWidth="1"/>
    <col min="6" max="6" width="14.7109375" bestFit="1" customWidth="1"/>
    <col min="7" max="7" width="13.140625" bestFit="1" customWidth="1"/>
    <col min="8" max="8" width="14.7109375" bestFit="1" customWidth="1"/>
    <col min="9" max="9" width="11.42578125" bestFit="1" customWidth="1"/>
    <col min="10" max="10" width="15.5703125" bestFit="1" customWidth="1"/>
    <col min="11" max="11" width="14.85546875" bestFit="1" customWidth="1"/>
    <col min="12" max="12" width="14.5703125" bestFit="1" customWidth="1"/>
    <col min="13" max="13" width="10.5703125" bestFit="1" customWidth="1"/>
    <col min="14" max="14" width="14.42578125" bestFit="1" customWidth="1"/>
    <col min="15" max="15" width="12.140625" bestFit="1" customWidth="1"/>
  </cols>
  <sheetData>
    <row r="1" spans="1:15" x14ac:dyDescent="0.2">
      <c r="A1" s="329" t="s">
        <v>280</v>
      </c>
    </row>
    <row r="2" spans="1:15" x14ac:dyDescent="0.2">
      <c r="A2" s="330" t="s">
        <v>363</v>
      </c>
    </row>
    <row r="3" spans="1:15" x14ac:dyDescent="0.2">
      <c r="A3" s="330" t="s">
        <v>276</v>
      </c>
    </row>
    <row r="7" spans="1:15" ht="64.5" thickBot="1" x14ac:dyDescent="0.25">
      <c r="B7" s="331" t="s">
        <v>281</v>
      </c>
      <c r="C7" s="331" t="s">
        <v>282</v>
      </c>
      <c r="D7" s="331" t="s">
        <v>283</v>
      </c>
      <c r="E7" s="331" t="s">
        <v>284</v>
      </c>
      <c r="F7" s="331" t="s">
        <v>285</v>
      </c>
      <c r="G7" s="331" t="s">
        <v>286</v>
      </c>
      <c r="H7" s="331" t="s">
        <v>287</v>
      </c>
      <c r="I7" s="331" t="s">
        <v>288</v>
      </c>
      <c r="J7" s="331" t="s">
        <v>289</v>
      </c>
      <c r="K7" s="331" t="s">
        <v>290</v>
      </c>
      <c r="L7" s="331" t="s">
        <v>291</v>
      </c>
      <c r="M7" s="331" t="s">
        <v>292</v>
      </c>
      <c r="N7" s="331" t="s">
        <v>293</v>
      </c>
      <c r="O7" s="331" t="s">
        <v>294</v>
      </c>
    </row>
    <row r="9" spans="1:15" x14ac:dyDescent="0.2">
      <c r="A9" s="332">
        <v>42278</v>
      </c>
      <c r="B9" s="333">
        <f>+[3]WTX!I139</f>
        <v>1154</v>
      </c>
      <c r="C9" s="333">
        <f>+[3]WTX!I155</f>
        <v>89</v>
      </c>
      <c r="D9" s="333">
        <f>+[3]WTX!I171</f>
        <v>68968</v>
      </c>
      <c r="E9" s="333">
        <f>+[3]WTX!I187</f>
        <v>2645</v>
      </c>
      <c r="F9" s="333">
        <f>+[3]WTX!I203</f>
        <v>2151</v>
      </c>
      <c r="G9">
        <f>+[3]WTX!I219</f>
        <v>164</v>
      </c>
      <c r="H9" s="333">
        <f>+[3]WTX!I235</f>
        <v>68744</v>
      </c>
      <c r="I9" s="333">
        <f>+[3]WTX!I251</f>
        <v>4897</v>
      </c>
      <c r="J9" s="333">
        <f>+[3]WTX!I267</f>
        <v>134578</v>
      </c>
      <c r="K9" s="333">
        <f>+[3]WTX!I283</f>
        <v>13852</v>
      </c>
      <c r="L9">
        <f>+[3]WTX!I299</f>
        <v>60</v>
      </c>
      <c r="M9">
        <f>+[3]WTX!I315</f>
        <v>31</v>
      </c>
      <c r="N9">
        <f>+[3]WTX!I331</f>
        <v>9</v>
      </c>
      <c r="O9" s="334">
        <f t="shared" ref="O9:O20" si="0">SUM(B9:N9)</f>
        <v>297342</v>
      </c>
    </row>
    <row r="10" spans="1:15" x14ac:dyDescent="0.2">
      <c r="A10" s="332">
        <v>42309</v>
      </c>
      <c r="B10" s="333">
        <f>+[3]WTX!I140</f>
        <v>1146</v>
      </c>
      <c r="C10" s="333">
        <f>+[3]WTX!I156</f>
        <v>97</v>
      </c>
      <c r="D10" s="333">
        <f>+[3]WTX!I172</f>
        <v>69144</v>
      </c>
      <c r="E10" s="333">
        <f>+[3]WTX!I188</f>
        <v>2657</v>
      </c>
      <c r="F10" s="333">
        <f>+[3]WTX!I204</f>
        <v>2126</v>
      </c>
      <c r="G10">
        <f>+[3]WTX!I220</f>
        <v>162</v>
      </c>
      <c r="H10" s="333">
        <f>+[3]WTX!I236</f>
        <v>68615</v>
      </c>
      <c r="I10" s="333">
        <f>+[3]WTX!I252</f>
        <v>4932</v>
      </c>
      <c r="J10" s="333">
        <f>+[3]WTX!I268</f>
        <v>134469</v>
      </c>
      <c r="K10" s="333">
        <f>+[3]WTX!I284</f>
        <v>13923</v>
      </c>
      <c r="L10">
        <f>+[3]WTX!I300</f>
        <v>46</v>
      </c>
      <c r="M10">
        <f>+[3]WTX!I316</f>
        <v>30</v>
      </c>
      <c r="N10">
        <f>+[3]WTX!I332</f>
        <v>9</v>
      </c>
      <c r="O10" s="334">
        <f t="shared" si="0"/>
        <v>297356</v>
      </c>
    </row>
    <row r="11" spans="1:15" x14ac:dyDescent="0.2">
      <c r="A11" s="332">
        <v>42339</v>
      </c>
      <c r="B11" s="333">
        <f>+[3]WTX!I141</f>
        <v>1147</v>
      </c>
      <c r="C11" s="333">
        <f>+[3]WTX!I157</f>
        <v>106</v>
      </c>
      <c r="D11" s="333">
        <f>+[3]WTX!I173</f>
        <v>69372</v>
      </c>
      <c r="E11" s="333">
        <f>+[3]WTX!I189</f>
        <v>2657</v>
      </c>
      <c r="F11" s="333">
        <f>+[3]WTX!I205</f>
        <v>2115</v>
      </c>
      <c r="G11">
        <f>+[3]WTX!I221</f>
        <v>163</v>
      </c>
      <c r="H11" s="333">
        <f>+[3]WTX!I237</f>
        <v>69190</v>
      </c>
      <c r="I11" s="333">
        <f>+[3]WTX!I253</f>
        <v>4954</v>
      </c>
      <c r="J11" s="333">
        <f>+[3]WTX!I269</f>
        <v>135581</v>
      </c>
      <c r="K11" s="333">
        <f>+[3]WTX!I285</f>
        <v>14117</v>
      </c>
      <c r="L11">
        <f>+[3]WTX!I301</f>
        <v>43</v>
      </c>
      <c r="M11">
        <f>+[3]WTX!I317</f>
        <v>29</v>
      </c>
      <c r="N11">
        <f>+[3]WTX!I333</f>
        <v>9</v>
      </c>
      <c r="O11" s="334">
        <f t="shared" si="0"/>
        <v>299483</v>
      </c>
    </row>
    <row r="12" spans="1:15" x14ac:dyDescent="0.2">
      <c r="A12" s="332">
        <v>42370</v>
      </c>
      <c r="B12" s="333">
        <f>+[3]WTX!I142</f>
        <v>1145</v>
      </c>
      <c r="C12" s="333">
        <f>+[3]WTX!I158</f>
        <v>94</v>
      </c>
      <c r="D12" s="333">
        <f>+[3]WTX!I174</f>
        <v>69691</v>
      </c>
      <c r="E12" s="333">
        <f>+[3]WTX!I190</f>
        <v>2673</v>
      </c>
      <c r="F12" s="333">
        <f>+[3]WTX!I206</f>
        <v>2102</v>
      </c>
      <c r="G12">
        <f>+[3]WTX!I222</f>
        <v>159</v>
      </c>
      <c r="H12" s="333">
        <f>+[3]WTX!I238</f>
        <v>69592</v>
      </c>
      <c r="I12" s="333">
        <f>+[3]WTX!I254</f>
        <v>4999</v>
      </c>
      <c r="J12" s="333">
        <f>+[3]WTX!I270</f>
        <v>135573</v>
      </c>
      <c r="K12" s="333">
        <f>+[3]WTX!I286</f>
        <v>14142</v>
      </c>
      <c r="L12">
        <f>+[3]WTX!I302</f>
        <v>41</v>
      </c>
      <c r="M12">
        <f>+[3]WTX!I318</f>
        <v>29</v>
      </c>
      <c r="N12">
        <f>+[3]WTX!I334</f>
        <v>9</v>
      </c>
      <c r="O12" s="334">
        <f t="shared" si="0"/>
        <v>300249</v>
      </c>
    </row>
    <row r="13" spans="1:15" x14ac:dyDescent="0.2">
      <c r="A13" s="332">
        <v>42401</v>
      </c>
      <c r="B13" s="333">
        <f>+[3]WTX!I143</f>
        <v>1143</v>
      </c>
      <c r="C13" s="333">
        <f>+[3]WTX!I159</f>
        <v>101</v>
      </c>
      <c r="D13" s="333">
        <f>+[3]WTX!I175</f>
        <v>69761</v>
      </c>
      <c r="E13" s="333">
        <f>+[3]WTX!I191</f>
        <v>2661</v>
      </c>
      <c r="F13" s="333">
        <f>+[3]WTX!I207</f>
        <v>2095</v>
      </c>
      <c r="G13">
        <f>+[3]WTX!I223</f>
        <v>158</v>
      </c>
      <c r="H13" s="333">
        <f>+[3]WTX!I239</f>
        <v>69515</v>
      </c>
      <c r="I13" s="333">
        <f>+[3]WTX!I255</f>
        <v>4971</v>
      </c>
      <c r="J13" s="333">
        <f>+[3]WTX!I271</f>
        <v>135697</v>
      </c>
      <c r="K13" s="333">
        <f>+[3]WTX!I287</f>
        <v>14118</v>
      </c>
      <c r="L13">
        <f>+[3]WTX!I303</f>
        <v>41</v>
      </c>
      <c r="M13">
        <f>+[3]WTX!I319</f>
        <v>28</v>
      </c>
      <c r="N13">
        <f>+[3]WTX!I335</f>
        <v>10</v>
      </c>
      <c r="O13" s="334">
        <f t="shared" si="0"/>
        <v>300299</v>
      </c>
    </row>
    <row r="14" spans="1:15" x14ac:dyDescent="0.2">
      <c r="A14" s="332">
        <v>42430</v>
      </c>
      <c r="B14" s="333">
        <f>+[3]WTX!I144</f>
        <v>1145</v>
      </c>
      <c r="C14" s="333">
        <f>+[3]WTX!I160</f>
        <v>97</v>
      </c>
      <c r="D14" s="333">
        <f>+[3]WTX!I176</f>
        <v>69828</v>
      </c>
      <c r="E14" s="333">
        <f>+[3]WTX!I192</f>
        <v>2679</v>
      </c>
      <c r="F14" s="333">
        <f>+[3]WTX!I208</f>
        <v>2072</v>
      </c>
      <c r="G14">
        <f>+[3]WTX!I224</f>
        <v>158</v>
      </c>
      <c r="H14" s="333">
        <f>+[3]WTX!I240</f>
        <v>69889</v>
      </c>
      <c r="I14" s="333">
        <f>+[3]WTX!I256</f>
        <v>4979</v>
      </c>
      <c r="J14" s="333">
        <f>+[3]WTX!I272</f>
        <v>136165</v>
      </c>
      <c r="K14" s="333">
        <f>+[3]WTX!I288</f>
        <v>14172</v>
      </c>
      <c r="L14">
        <f>+[3]WTX!I304</f>
        <v>41</v>
      </c>
      <c r="M14">
        <f>+[3]WTX!I320</f>
        <v>27</v>
      </c>
      <c r="N14">
        <f>+[3]WTX!I336</f>
        <v>10</v>
      </c>
      <c r="O14" s="334">
        <f t="shared" si="0"/>
        <v>301262</v>
      </c>
    </row>
    <row r="15" spans="1:15" x14ac:dyDescent="0.2">
      <c r="A15" s="332">
        <v>42461</v>
      </c>
      <c r="B15" s="333">
        <f>+[3]WTX!I145</f>
        <v>1141</v>
      </c>
      <c r="C15" s="333">
        <f>+[3]WTX!I161</f>
        <v>112</v>
      </c>
      <c r="D15" s="333">
        <f>+[3]WTX!I177</f>
        <v>69887</v>
      </c>
      <c r="E15" s="333">
        <f>+[3]WTX!I193</f>
        <v>2700</v>
      </c>
      <c r="F15" s="333">
        <f>+[3]WTX!I209</f>
        <v>2066</v>
      </c>
      <c r="G15">
        <f>+[3]WTX!I225</f>
        <v>156</v>
      </c>
      <c r="H15" s="333">
        <f>+[3]WTX!I241</f>
        <v>69660</v>
      </c>
      <c r="I15" s="333">
        <f>+[3]WTX!I257</f>
        <v>4975</v>
      </c>
      <c r="J15" s="333">
        <f>+[3]WTX!I273</f>
        <v>135816</v>
      </c>
      <c r="K15" s="333">
        <f>+[3]WTX!I289</f>
        <v>14131</v>
      </c>
      <c r="L15">
        <f>+[3]WTX!I305</f>
        <v>42</v>
      </c>
      <c r="M15">
        <f>+[3]WTX!I321</f>
        <v>26</v>
      </c>
      <c r="N15">
        <f>+[3]WTX!I337</f>
        <v>10</v>
      </c>
      <c r="O15" s="334">
        <f t="shared" si="0"/>
        <v>300722</v>
      </c>
    </row>
    <row r="16" spans="1:15" x14ac:dyDescent="0.2">
      <c r="A16" s="332">
        <v>42491</v>
      </c>
      <c r="B16" s="333">
        <f>+[3]WTX!I146</f>
        <v>1131</v>
      </c>
      <c r="C16" s="333">
        <f>+[3]WTX!I162</f>
        <v>96</v>
      </c>
      <c r="D16" s="333">
        <f>+[3]WTX!I178</f>
        <v>69575</v>
      </c>
      <c r="E16" s="333">
        <f>+[3]WTX!I194</f>
        <v>2685</v>
      </c>
      <c r="F16" s="333">
        <f>+[3]WTX!I210</f>
        <v>2027</v>
      </c>
      <c r="G16">
        <f>+[3]WTX!I226</f>
        <v>156</v>
      </c>
      <c r="H16" s="333">
        <f>+[3]WTX!I242</f>
        <v>69768</v>
      </c>
      <c r="I16" s="333">
        <f>+[3]WTX!I258</f>
        <v>4947</v>
      </c>
      <c r="J16" s="333">
        <f>+[3]WTX!I274</f>
        <v>135449</v>
      </c>
      <c r="K16" s="333">
        <f>+[3]WTX!I290</f>
        <v>14138</v>
      </c>
      <c r="L16">
        <f>+[3]WTX!I306</f>
        <v>41</v>
      </c>
      <c r="M16">
        <f>+[3]WTX!I322</f>
        <v>27</v>
      </c>
      <c r="N16">
        <f>+[3]WTX!I338</f>
        <v>10</v>
      </c>
      <c r="O16" s="334">
        <f t="shared" si="0"/>
        <v>300050</v>
      </c>
    </row>
    <row r="17" spans="1:15" x14ac:dyDescent="0.2">
      <c r="A17" s="332">
        <v>42522</v>
      </c>
      <c r="B17" s="333">
        <f>+[3]WTX!I147</f>
        <v>1146</v>
      </c>
      <c r="C17" s="333">
        <f>+[3]WTX!I163</f>
        <v>102</v>
      </c>
      <c r="D17" s="333">
        <f>+[3]WTX!I179</f>
        <v>69649</v>
      </c>
      <c r="E17" s="333">
        <f>+[3]WTX!I195</f>
        <v>2665</v>
      </c>
      <c r="F17" s="333">
        <f>+[3]WTX!I211</f>
        <v>2011</v>
      </c>
      <c r="G17">
        <f>+[3]WTX!I227</f>
        <v>155</v>
      </c>
      <c r="H17" s="333">
        <f>+[3]WTX!I243</f>
        <v>69749</v>
      </c>
      <c r="I17" s="333">
        <f>+[3]WTX!I259</f>
        <v>4943</v>
      </c>
      <c r="J17" s="333">
        <f>+[3]WTX!I275</f>
        <v>135651</v>
      </c>
      <c r="K17" s="333">
        <f>+[3]WTX!I291</f>
        <v>14053</v>
      </c>
      <c r="L17">
        <f>+[3]WTX!I307</f>
        <v>39</v>
      </c>
      <c r="M17">
        <f>+[3]WTX!I323</f>
        <v>24</v>
      </c>
      <c r="N17">
        <f>+[3]WTX!I339</f>
        <v>10</v>
      </c>
      <c r="O17" s="334">
        <f t="shared" si="0"/>
        <v>300197</v>
      </c>
    </row>
    <row r="18" spans="1:15" x14ac:dyDescent="0.2">
      <c r="A18" s="332">
        <v>42552</v>
      </c>
      <c r="B18" s="333">
        <f>+[3]WTX!I148</f>
        <v>1145</v>
      </c>
      <c r="C18" s="333">
        <f>+[3]WTX!I164</f>
        <v>87</v>
      </c>
      <c r="D18" s="333">
        <f>+[3]WTX!I180</f>
        <v>69746</v>
      </c>
      <c r="E18" s="333">
        <f>+[3]WTX!I196</f>
        <v>2683</v>
      </c>
      <c r="F18" s="333">
        <f>+[3]WTX!I212</f>
        <v>2008</v>
      </c>
      <c r="G18">
        <f>+[3]WTX!I228</f>
        <v>155</v>
      </c>
      <c r="H18" s="333">
        <f>+[3]WTX!I244</f>
        <v>69694</v>
      </c>
      <c r="I18" s="333">
        <f>+[3]WTX!I260</f>
        <v>4881</v>
      </c>
      <c r="J18" s="333">
        <f>+[3]WTX!I276</f>
        <v>135607</v>
      </c>
      <c r="K18" s="333">
        <f>+[3]WTX!I292</f>
        <v>14064</v>
      </c>
      <c r="L18">
        <f>+[3]WTX!I308</f>
        <v>37</v>
      </c>
      <c r="M18">
        <f>+[3]WTX!I324</f>
        <v>24</v>
      </c>
      <c r="N18">
        <f>+[3]WTX!I340</f>
        <v>10</v>
      </c>
      <c r="O18" s="334">
        <f t="shared" si="0"/>
        <v>300141</v>
      </c>
    </row>
    <row r="19" spans="1:15" x14ac:dyDescent="0.2">
      <c r="A19" s="332">
        <v>42583</v>
      </c>
      <c r="B19" s="333">
        <f>+[3]WTX!I149</f>
        <v>1158</v>
      </c>
      <c r="C19" s="333">
        <f>+[3]WTX!I165</f>
        <v>96</v>
      </c>
      <c r="D19" s="333">
        <f>+[3]WTX!I181</f>
        <v>69829</v>
      </c>
      <c r="E19" s="333">
        <f>+[3]WTX!I197</f>
        <v>2697</v>
      </c>
      <c r="F19" s="333">
        <f>+[3]WTX!I213</f>
        <v>1981</v>
      </c>
      <c r="G19">
        <f>+[3]WTX!I229</f>
        <v>155</v>
      </c>
      <c r="H19" s="333">
        <f>+[3]WTX!I245</f>
        <v>69793</v>
      </c>
      <c r="I19" s="333">
        <f>+[3]WTX!I261</f>
        <v>4924</v>
      </c>
      <c r="J19" s="333">
        <f>+[3]WTX!I277</f>
        <v>135673</v>
      </c>
      <c r="K19" s="333">
        <f>+[3]WTX!I293</f>
        <v>14201</v>
      </c>
      <c r="L19">
        <f>+[3]WTX!I309</f>
        <v>7</v>
      </c>
      <c r="M19">
        <f>+[3]WTX!I325</f>
        <v>11</v>
      </c>
      <c r="N19">
        <f>+[3]WTX!I341</f>
        <v>21</v>
      </c>
      <c r="O19" s="334">
        <f t="shared" si="0"/>
        <v>300546</v>
      </c>
    </row>
    <row r="20" spans="1:15" x14ac:dyDescent="0.2">
      <c r="A20" s="332">
        <v>42614</v>
      </c>
      <c r="B20" s="333">
        <f>+[3]WTX!I150</f>
        <v>1113</v>
      </c>
      <c r="C20" s="333">
        <f>+[3]WTX!I166</f>
        <v>89</v>
      </c>
      <c r="D20" s="333">
        <f>+[3]WTX!I182</f>
        <v>69403</v>
      </c>
      <c r="E20" s="333">
        <f>+[3]WTX!I198</f>
        <v>2670</v>
      </c>
      <c r="F20" s="333">
        <f>+[3]WTX!I214</f>
        <v>1962</v>
      </c>
      <c r="G20">
        <f>+[3]WTX!I230</f>
        <v>153</v>
      </c>
      <c r="H20" s="333">
        <f>+[3]WTX!I246</f>
        <v>69609</v>
      </c>
      <c r="I20" s="333">
        <f>+[3]WTX!I262</f>
        <v>4869</v>
      </c>
      <c r="J20" s="333">
        <f>+[3]WTX!I278</f>
        <v>134296</v>
      </c>
      <c r="K20" s="333">
        <f>+[3]WTX!I294</f>
        <v>14005</v>
      </c>
      <c r="L20">
        <f>+[3]WTX!I310</f>
        <v>19</v>
      </c>
      <c r="M20">
        <f>+[3]WTX!I326</f>
        <v>11</v>
      </c>
      <c r="N20">
        <f>+[3]WTX!I342</f>
        <v>21</v>
      </c>
      <c r="O20" s="334">
        <f t="shared" si="0"/>
        <v>298220</v>
      </c>
    </row>
    <row r="21" spans="1:15" x14ac:dyDescent="0.2">
      <c r="A21" s="332"/>
      <c r="O21" s="334"/>
    </row>
    <row r="22" spans="1:15" x14ac:dyDescent="0.2">
      <c r="A22" s="335" t="s">
        <v>279</v>
      </c>
      <c r="B22" s="336">
        <f t="shared" ref="B22:O22" si="1">SUM(B9:B21)/12</f>
        <v>1142.8333333333333</v>
      </c>
      <c r="C22" s="336">
        <f t="shared" si="1"/>
        <v>97.166666666666671</v>
      </c>
      <c r="D22" s="336">
        <f t="shared" si="1"/>
        <v>69571.083333333328</v>
      </c>
      <c r="E22" s="336">
        <f t="shared" si="1"/>
        <v>2672.6666666666665</v>
      </c>
      <c r="F22" s="336">
        <f t="shared" si="1"/>
        <v>2059.6666666666665</v>
      </c>
      <c r="G22" s="336">
        <f t="shared" si="1"/>
        <v>157.83333333333334</v>
      </c>
      <c r="H22" s="336">
        <f t="shared" si="1"/>
        <v>69484.833333333328</v>
      </c>
      <c r="I22" s="336">
        <f t="shared" si="1"/>
        <v>4939.25</v>
      </c>
      <c r="J22" s="336">
        <f t="shared" si="1"/>
        <v>135379.58333333334</v>
      </c>
      <c r="K22" s="336">
        <f t="shared" si="1"/>
        <v>14076.333333333334</v>
      </c>
      <c r="L22" s="336">
        <f t="shared" si="1"/>
        <v>38.083333333333336</v>
      </c>
      <c r="M22" s="336">
        <f t="shared" si="1"/>
        <v>24.75</v>
      </c>
      <c r="N22" s="336">
        <f t="shared" si="1"/>
        <v>11.5</v>
      </c>
      <c r="O22" s="336">
        <f t="shared" si="1"/>
        <v>299655.58333333331</v>
      </c>
    </row>
  </sheetData>
  <pageMargins left="0.7" right="0.7" top="0.75" bottom="0.75" header="0.3" footer="0.3"/>
  <pageSetup paperSize="5" scale="70" orientation="landscape" horizontalDpi="4294967294" verticalDpi="4294967294"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C00000"/>
  </sheetPr>
  <dimension ref="A1:R44"/>
  <sheetViews>
    <sheetView workbookViewId="0">
      <pane xSplit="1" ySplit="7" topLeftCell="B8" activePane="bottomRight" state="frozen"/>
      <selection activeCell="A5" sqref="A5"/>
      <selection pane="topRight" activeCell="A5" sqref="A5"/>
      <selection pane="bottomLeft" activeCell="A5" sqref="A5"/>
      <selection pane="bottomRight" activeCell="G22" sqref="G22"/>
    </sheetView>
  </sheetViews>
  <sheetFormatPr defaultRowHeight="12.75" x14ac:dyDescent="0.2"/>
  <cols>
    <col min="1" max="1" width="16.42578125" customWidth="1"/>
    <col min="2" max="2" width="15.85546875" customWidth="1"/>
    <col min="3" max="4" width="16.85546875" customWidth="1"/>
    <col min="5" max="5" width="17" customWidth="1"/>
    <col min="6" max="6" width="14.5703125" customWidth="1"/>
    <col min="7" max="15" width="13.140625" customWidth="1"/>
  </cols>
  <sheetData>
    <row r="1" spans="1:7" x14ac:dyDescent="0.2">
      <c r="A1" s="339" t="s">
        <v>300</v>
      </c>
      <c r="B1" s="340"/>
    </row>
    <row r="2" spans="1:7" x14ac:dyDescent="0.2">
      <c r="A2" s="339" t="s">
        <v>363</v>
      </c>
      <c r="B2" s="341"/>
    </row>
    <row r="3" spans="1:7" x14ac:dyDescent="0.2">
      <c r="A3" s="330" t="s">
        <v>276</v>
      </c>
      <c r="B3" s="340"/>
    </row>
    <row r="7" spans="1:7" ht="51.75" thickBot="1" x14ac:dyDescent="0.25">
      <c r="B7" s="331" t="s">
        <v>301</v>
      </c>
      <c r="C7" s="331" t="s">
        <v>302</v>
      </c>
      <c r="D7" s="331" t="s">
        <v>303</v>
      </c>
      <c r="E7" s="331" t="s">
        <v>304</v>
      </c>
      <c r="F7" s="331" t="s">
        <v>305</v>
      </c>
      <c r="G7" s="331" t="s">
        <v>306</v>
      </c>
    </row>
    <row r="9" spans="1:7" x14ac:dyDescent="0.2">
      <c r="A9" s="332">
        <v>42278</v>
      </c>
      <c r="B9" s="333">
        <f>+'[3]CO KS'!I97</f>
        <v>51877</v>
      </c>
      <c r="C9" s="333">
        <f>+'[3]CO KS'!I113</f>
        <v>25474</v>
      </c>
      <c r="D9" s="333">
        <f>+'[3]CO KS'!I129</f>
        <v>20924</v>
      </c>
      <c r="E9" s="333">
        <f>+'[3]CO KS'!I145</f>
        <v>17295</v>
      </c>
      <c r="F9" s="333">
        <f>+'[3]CO KS'!I161</f>
        <v>130874</v>
      </c>
      <c r="G9" s="334">
        <f>SUM(B9:F9)</f>
        <v>246444</v>
      </c>
    </row>
    <row r="10" spans="1:7" x14ac:dyDescent="0.2">
      <c r="A10" s="332">
        <v>42309</v>
      </c>
      <c r="B10" s="333">
        <f>+'[3]CO KS'!I98</f>
        <v>52089</v>
      </c>
      <c r="C10" s="333">
        <f>+'[3]CO KS'!I114</f>
        <v>25539</v>
      </c>
      <c r="D10" s="333">
        <f>+'[3]CO KS'!I130</f>
        <v>21040</v>
      </c>
      <c r="E10" s="333">
        <f>+'[3]CO KS'!I146</f>
        <v>17338</v>
      </c>
      <c r="F10" s="333">
        <f>+'[3]CO KS'!I162</f>
        <v>131313</v>
      </c>
      <c r="G10" s="334">
        <f t="shared" ref="G10:G20" si="0">SUM(B10:F10)</f>
        <v>247319</v>
      </c>
    </row>
    <row r="11" spans="1:7" x14ac:dyDescent="0.2">
      <c r="A11" s="332">
        <v>42339</v>
      </c>
      <c r="B11" s="333">
        <f>+'[3]CO KS'!I99</f>
        <v>52583</v>
      </c>
      <c r="C11" s="333">
        <f>+'[3]CO KS'!I115</f>
        <v>25776</v>
      </c>
      <c r="D11" s="333">
        <f>+'[3]CO KS'!I131</f>
        <v>21150</v>
      </c>
      <c r="E11" s="333">
        <f>+'[3]CO KS'!I147</f>
        <v>17452</v>
      </c>
      <c r="F11" s="333">
        <f>+'[3]CO KS'!I163</f>
        <v>132333</v>
      </c>
      <c r="G11" s="334">
        <f t="shared" si="0"/>
        <v>249294</v>
      </c>
    </row>
    <row r="12" spans="1:7" x14ac:dyDescent="0.2">
      <c r="A12" s="332">
        <v>42370</v>
      </c>
      <c r="B12" s="333">
        <f>+'[3]CO KS'!I100</f>
        <v>52468</v>
      </c>
      <c r="C12" s="333">
        <f>+'[3]CO KS'!I116</f>
        <v>25740</v>
      </c>
      <c r="D12" s="333">
        <f>+'[3]CO KS'!I132</f>
        <v>21046</v>
      </c>
      <c r="E12" s="333">
        <f>+'[3]CO KS'!I148</f>
        <v>17452</v>
      </c>
      <c r="F12" s="333">
        <f>+'[3]CO KS'!I164</f>
        <v>132433</v>
      </c>
      <c r="G12" s="334">
        <f t="shared" si="0"/>
        <v>249139</v>
      </c>
    </row>
    <row r="13" spans="1:7" x14ac:dyDescent="0.2">
      <c r="A13" s="332">
        <v>42401</v>
      </c>
      <c r="B13" s="333">
        <f>+'[3]CO KS'!I101</f>
        <v>52483</v>
      </c>
      <c r="C13" s="333">
        <f>+'[3]CO KS'!I117</f>
        <v>25637</v>
      </c>
      <c r="D13" s="333">
        <f>+'[3]CO KS'!I133</f>
        <v>21060</v>
      </c>
      <c r="E13" s="333">
        <f>+'[3]CO KS'!I149</f>
        <v>17480</v>
      </c>
      <c r="F13" s="333">
        <f>+'[3]CO KS'!I165</f>
        <v>132690</v>
      </c>
      <c r="G13" s="334">
        <f t="shared" si="0"/>
        <v>249350</v>
      </c>
    </row>
    <row r="14" spans="1:7" x14ac:dyDescent="0.2">
      <c r="A14" s="332">
        <v>42430</v>
      </c>
      <c r="B14" s="333">
        <f>+'[3]CO KS'!I102</f>
        <v>53193</v>
      </c>
      <c r="C14" s="333">
        <f>+'[3]CO KS'!I118</f>
        <v>25717</v>
      </c>
      <c r="D14" s="333">
        <f>+'[3]CO KS'!I134</f>
        <v>21136</v>
      </c>
      <c r="E14" s="333">
        <f>+'[3]CO KS'!I150</f>
        <v>17501</v>
      </c>
      <c r="F14" s="333">
        <f>+'[3]CO KS'!I166</f>
        <v>133313</v>
      </c>
      <c r="G14" s="334">
        <f t="shared" si="0"/>
        <v>250860</v>
      </c>
    </row>
    <row r="15" spans="1:7" x14ac:dyDescent="0.2">
      <c r="A15" s="332">
        <v>42461</v>
      </c>
      <c r="B15" s="333">
        <f>+'[3]CO KS'!I103</f>
        <v>53054</v>
      </c>
      <c r="C15" s="333">
        <f>+'[3]CO KS'!I119</f>
        <v>25842</v>
      </c>
      <c r="D15" s="333">
        <f>+'[3]CO KS'!I135</f>
        <v>21210</v>
      </c>
      <c r="E15" s="333">
        <f>+'[3]CO KS'!I151</f>
        <v>17548</v>
      </c>
      <c r="F15" s="333">
        <f>+'[3]CO KS'!I167</f>
        <v>132571</v>
      </c>
      <c r="G15" s="334">
        <f t="shared" si="0"/>
        <v>250225</v>
      </c>
    </row>
    <row r="16" spans="1:7" x14ac:dyDescent="0.2">
      <c r="A16" s="332">
        <v>42491</v>
      </c>
      <c r="B16" s="333">
        <f>+'[3]CO KS'!I104</f>
        <v>53486</v>
      </c>
      <c r="C16" s="333">
        <f>+'[3]CO KS'!I120</f>
        <v>25820</v>
      </c>
      <c r="D16" s="333">
        <f>+'[3]CO KS'!I136</f>
        <v>21128</v>
      </c>
      <c r="E16" s="333">
        <f>+'[3]CO KS'!I152</f>
        <v>17594</v>
      </c>
      <c r="F16" s="333">
        <f>+'[3]CO KS'!I168</f>
        <v>132985</v>
      </c>
      <c r="G16" s="334">
        <f t="shared" si="0"/>
        <v>251013</v>
      </c>
    </row>
    <row r="17" spans="1:7" x14ac:dyDescent="0.2">
      <c r="A17" s="332">
        <v>42522</v>
      </c>
      <c r="B17" s="333">
        <f>+'[3]CO KS'!I105</f>
        <v>53226</v>
      </c>
      <c r="C17" s="333">
        <f>+'[3]CO KS'!I121</f>
        <v>25853</v>
      </c>
      <c r="D17" s="333">
        <f>+'[3]CO KS'!I137</f>
        <v>21095</v>
      </c>
      <c r="E17" s="333">
        <f>+'[3]CO KS'!I153</f>
        <v>17618</v>
      </c>
      <c r="F17" s="333">
        <f>+'[3]CO KS'!I169</f>
        <v>132958</v>
      </c>
      <c r="G17" s="334">
        <f t="shared" si="0"/>
        <v>250750</v>
      </c>
    </row>
    <row r="18" spans="1:7" x14ac:dyDescent="0.2">
      <c r="A18" s="332">
        <v>42552</v>
      </c>
      <c r="B18" s="333">
        <f>+'[3]CO KS'!I106</f>
        <v>53168</v>
      </c>
      <c r="C18" s="333">
        <f>+'[3]CO KS'!I122</f>
        <v>25814</v>
      </c>
      <c r="D18" s="333">
        <f>+'[3]CO KS'!I138</f>
        <v>21060</v>
      </c>
      <c r="E18" s="333">
        <f>+'[3]CO KS'!I154</f>
        <v>17606</v>
      </c>
      <c r="F18" s="333">
        <f>+'[3]CO KS'!I170</f>
        <v>131310</v>
      </c>
      <c r="G18" s="334">
        <f t="shared" si="0"/>
        <v>248958</v>
      </c>
    </row>
    <row r="19" spans="1:7" x14ac:dyDescent="0.2">
      <c r="A19" s="332">
        <v>42583</v>
      </c>
      <c r="B19" s="333">
        <f>+'[3]CO KS'!I107</f>
        <v>53361</v>
      </c>
      <c r="C19" s="333">
        <f>+'[3]CO KS'!I123</f>
        <v>25866</v>
      </c>
      <c r="D19" s="333">
        <f>+'[3]CO KS'!I139</f>
        <v>21117</v>
      </c>
      <c r="E19" s="333">
        <f>+'[3]CO KS'!I155</f>
        <v>17653</v>
      </c>
      <c r="F19" s="333">
        <f>+'[3]CO KS'!I171</f>
        <v>133603</v>
      </c>
      <c r="G19" s="334">
        <f t="shared" si="0"/>
        <v>251600</v>
      </c>
    </row>
    <row r="20" spans="1:7" x14ac:dyDescent="0.2">
      <c r="A20" s="332">
        <v>42614</v>
      </c>
      <c r="B20" s="333">
        <f>+'[3]CO KS'!I108</f>
        <v>53135</v>
      </c>
      <c r="C20" s="333">
        <f>+'[3]CO KS'!I124</f>
        <v>25854</v>
      </c>
      <c r="D20" s="333">
        <f>+'[3]CO KS'!I140</f>
        <v>20992</v>
      </c>
      <c r="E20" s="333">
        <f>+'[3]CO KS'!I156</f>
        <v>17600</v>
      </c>
      <c r="F20" s="333">
        <f>+'[3]CO KS'!I172</f>
        <v>131578</v>
      </c>
      <c r="G20" s="334">
        <f t="shared" si="0"/>
        <v>249159</v>
      </c>
    </row>
    <row r="21" spans="1:7" x14ac:dyDescent="0.2">
      <c r="A21" s="332"/>
      <c r="E21" s="333"/>
    </row>
    <row r="22" spans="1:7" x14ac:dyDescent="0.2">
      <c r="A22" s="335" t="s">
        <v>279</v>
      </c>
      <c r="B22" s="336">
        <f>SUM(B9:B21)/12</f>
        <v>52843.583333333336</v>
      </c>
      <c r="C22" s="336">
        <f>SUM(C9:C21)/12</f>
        <v>25744.333333333332</v>
      </c>
      <c r="D22" s="336">
        <f t="shared" ref="D22:G22" si="1">SUM(D9:D21)/12</f>
        <v>21079.833333333332</v>
      </c>
      <c r="E22" s="336">
        <f t="shared" si="1"/>
        <v>17511.416666666668</v>
      </c>
      <c r="F22" s="336">
        <f t="shared" si="1"/>
        <v>132330.08333333334</v>
      </c>
      <c r="G22" s="336">
        <f t="shared" si="1"/>
        <v>249509.25</v>
      </c>
    </row>
    <row r="23" spans="1:7" x14ac:dyDescent="0.2">
      <c r="A23" s="332"/>
    </row>
    <row r="24" spans="1:7" x14ac:dyDescent="0.2">
      <c r="A24" s="332"/>
    </row>
    <row r="33" spans="18:18" x14ac:dyDescent="0.2">
      <c r="R33" s="334"/>
    </row>
    <row r="34" spans="18:18" x14ac:dyDescent="0.2">
      <c r="R34" s="334"/>
    </row>
    <row r="35" spans="18:18" x14ac:dyDescent="0.2">
      <c r="R35" s="334"/>
    </row>
    <row r="36" spans="18:18" x14ac:dyDescent="0.2">
      <c r="R36" s="334"/>
    </row>
    <row r="37" spans="18:18" x14ac:dyDescent="0.2">
      <c r="R37" s="334"/>
    </row>
    <row r="38" spans="18:18" x14ac:dyDescent="0.2">
      <c r="R38" s="334"/>
    </row>
    <row r="39" spans="18:18" x14ac:dyDescent="0.2">
      <c r="R39" s="334"/>
    </row>
    <row r="40" spans="18:18" x14ac:dyDescent="0.2">
      <c r="R40" s="334"/>
    </row>
    <row r="41" spans="18:18" x14ac:dyDescent="0.2">
      <c r="R41" s="334"/>
    </row>
    <row r="42" spans="18:18" x14ac:dyDescent="0.2">
      <c r="R42" s="334"/>
    </row>
    <row r="43" spans="18:18" x14ac:dyDescent="0.2">
      <c r="R43" s="334"/>
    </row>
    <row r="44" spans="18:18" x14ac:dyDescent="0.2">
      <c r="R44" s="334"/>
    </row>
  </sheetData>
  <pageMargins left="0.7" right="0.7" top="0.75" bottom="0.75" header="0.3" footer="0.3"/>
  <pageSetup orientation="landscape" horizontalDpi="4294967294" verticalDpi="4294967294"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C00000"/>
  </sheetPr>
  <dimension ref="A1:Q44"/>
  <sheetViews>
    <sheetView workbookViewId="0">
      <pane xSplit="1" ySplit="7" topLeftCell="B8" activePane="bottomRight" state="frozen"/>
      <selection activeCell="A5" sqref="A5"/>
      <selection pane="topRight" activeCell="A5" sqref="A5"/>
      <selection pane="bottomLeft" activeCell="A5" sqref="A5"/>
      <selection pane="bottomRight" activeCell="C22" sqref="C22"/>
    </sheetView>
  </sheetViews>
  <sheetFormatPr defaultRowHeight="12.75" x14ac:dyDescent="0.2"/>
  <cols>
    <col min="1" max="1" width="16.42578125" customWidth="1"/>
    <col min="2" max="2" width="15.85546875" customWidth="1"/>
    <col min="3" max="3" width="16.85546875" customWidth="1"/>
    <col min="4" max="4" width="17" customWidth="1"/>
    <col min="5" max="14" width="13.140625" customWidth="1"/>
  </cols>
  <sheetData>
    <row r="1" spans="1:4" x14ac:dyDescent="0.2">
      <c r="A1" s="330" t="s">
        <v>275</v>
      </c>
    </row>
    <row r="2" spans="1:4" x14ac:dyDescent="0.2">
      <c r="A2" s="330" t="s">
        <v>363</v>
      </c>
    </row>
    <row r="3" spans="1:4" x14ac:dyDescent="0.2">
      <c r="A3" s="330" t="s">
        <v>276</v>
      </c>
    </row>
    <row r="7" spans="1:4" ht="39" thickBot="1" x14ac:dyDescent="0.25">
      <c r="B7" s="331" t="s">
        <v>277</v>
      </c>
      <c r="C7" s="337" t="s">
        <v>324</v>
      </c>
      <c r="D7" s="338" t="s">
        <v>278</v>
      </c>
    </row>
    <row r="9" spans="1:4" x14ac:dyDescent="0.2">
      <c r="A9" s="332">
        <v>42278</v>
      </c>
      <c r="B9" s="333">
        <f>+[3]LA!F21</f>
        <v>73888</v>
      </c>
      <c r="C9" s="333">
        <f>+[3]LA!J21</f>
        <v>271542</v>
      </c>
      <c r="D9" s="333">
        <f t="shared" ref="D9:D20" si="0">SUM(B9:C9)</f>
        <v>345430</v>
      </c>
    </row>
    <row r="10" spans="1:4" x14ac:dyDescent="0.2">
      <c r="A10" s="332">
        <v>42309</v>
      </c>
      <c r="B10" s="333">
        <f>+[3]LA!F22</f>
        <v>73937</v>
      </c>
      <c r="C10" s="333">
        <f>+[3]LA!J22</f>
        <v>270840</v>
      </c>
      <c r="D10" s="333">
        <f t="shared" si="0"/>
        <v>344777</v>
      </c>
    </row>
    <row r="11" spans="1:4" x14ac:dyDescent="0.2">
      <c r="A11" s="332">
        <v>42339</v>
      </c>
      <c r="B11" s="333">
        <f>+[3]LA!F23</f>
        <v>74280</v>
      </c>
      <c r="C11" s="333">
        <f>+[3]LA!J23</f>
        <v>273604</v>
      </c>
      <c r="D11" s="333">
        <f t="shared" si="0"/>
        <v>347884</v>
      </c>
    </row>
    <row r="12" spans="1:4" x14ac:dyDescent="0.2">
      <c r="A12" s="332">
        <v>42370</v>
      </c>
      <c r="B12" s="333">
        <f>+[3]LA!F24</f>
        <v>74598</v>
      </c>
      <c r="C12" s="333">
        <f>+[3]LA!J24</f>
        <v>273973</v>
      </c>
      <c r="D12" s="333">
        <f t="shared" si="0"/>
        <v>348571</v>
      </c>
    </row>
    <row r="13" spans="1:4" x14ac:dyDescent="0.2">
      <c r="A13" s="332">
        <v>42401</v>
      </c>
      <c r="B13" s="333">
        <f>+[3]LA!F25</f>
        <v>74589</v>
      </c>
      <c r="C13" s="333">
        <f>+[3]LA!J25</f>
        <v>273704</v>
      </c>
      <c r="D13" s="333">
        <f t="shared" si="0"/>
        <v>348293</v>
      </c>
    </row>
    <row r="14" spans="1:4" x14ac:dyDescent="0.2">
      <c r="A14" s="332">
        <v>42430</v>
      </c>
      <c r="B14" s="333">
        <f>+[3]LA!F26</f>
        <v>74874</v>
      </c>
      <c r="C14" s="333">
        <f>+[3]LA!J26</f>
        <v>275957</v>
      </c>
      <c r="D14" s="333">
        <f t="shared" si="0"/>
        <v>350831</v>
      </c>
    </row>
    <row r="15" spans="1:4" x14ac:dyDescent="0.2">
      <c r="A15" s="332">
        <v>42461</v>
      </c>
      <c r="B15" s="333">
        <f>+[3]LA!F27</f>
        <v>74717</v>
      </c>
      <c r="C15" s="333">
        <f>+[3]LA!J27</f>
        <v>274953</v>
      </c>
      <c r="D15" s="333">
        <f t="shared" si="0"/>
        <v>349670</v>
      </c>
    </row>
    <row r="16" spans="1:4" x14ac:dyDescent="0.2">
      <c r="A16" s="332">
        <v>42491</v>
      </c>
      <c r="B16" s="333">
        <f>+[3]LA!F28</f>
        <v>74632</v>
      </c>
      <c r="C16" s="333">
        <f>+[3]LA!J28</f>
        <v>273458</v>
      </c>
      <c r="D16" s="333">
        <f t="shared" si="0"/>
        <v>348090</v>
      </c>
    </row>
    <row r="17" spans="1:4" x14ac:dyDescent="0.2">
      <c r="A17" s="332">
        <v>42522</v>
      </c>
      <c r="B17" s="333">
        <f>+[3]LA!F29</f>
        <v>74550</v>
      </c>
      <c r="C17" s="333">
        <f>+[3]LA!J29</f>
        <v>276495</v>
      </c>
      <c r="D17" s="333">
        <f t="shared" si="0"/>
        <v>351045</v>
      </c>
    </row>
    <row r="18" spans="1:4" x14ac:dyDescent="0.2">
      <c r="A18" s="332">
        <v>42552</v>
      </c>
      <c r="B18" s="333">
        <f>+[3]LA!F30</f>
        <v>74090</v>
      </c>
      <c r="C18" s="333">
        <f>+[3]LA!J30</f>
        <v>274087</v>
      </c>
      <c r="D18" s="333">
        <f t="shared" si="0"/>
        <v>348177</v>
      </c>
    </row>
    <row r="19" spans="1:4" x14ac:dyDescent="0.2">
      <c r="A19" s="332">
        <v>42583</v>
      </c>
      <c r="B19" s="333">
        <f>+[3]LA!F31</f>
        <v>74538</v>
      </c>
      <c r="C19" s="333">
        <f>+[3]LA!J31</f>
        <v>275712</v>
      </c>
      <c r="D19" s="333">
        <f t="shared" si="0"/>
        <v>350250</v>
      </c>
    </row>
    <row r="20" spans="1:4" x14ac:dyDescent="0.2">
      <c r="A20" s="332">
        <v>42614</v>
      </c>
      <c r="B20" s="333">
        <f>+[3]LA!F32</f>
        <v>73908</v>
      </c>
      <c r="C20" s="333">
        <f>+[3]LA!J32</f>
        <v>273362</v>
      </c>
      <c r="D20" s="333">
        <f t="shared" si="0"/>
        <v>347270</v>
      </c>
    </row>
    <row r="21" spans="1:4" x14ac:dyDescent="0.2">
      <c r="A21" s="332"/>
    </row>
    <row r="22" spans="1:4" x14ac:dyDescent="0.2">
      <c r="A22" s="335" t="s">
        <v>279</v>
      </c>
      <c r="B22" s="356">
        <f>SUM(B9:B21)/12</f>
        <v>74383.416666666672</v>
      </c>
      <c r="C22" s="336">
        <f>SUM(C9:C21)/12</f>
        <v>273973.91666666669</v>
      </c>
      <c r="D22" s="336">
        <f>SUM(D9:D21)/12</f>
        <v>348357.33333333331</v>
      </c>
    </row>
    <row r="23" spans="1:4" x14ac:dyDescent="0.2">
      <c r="A23" s="332"/>
    </row>
    <row r="24" spans="1:4" x14ac:dyDescent="0.2">
      <c r="A24" s="332"/>
    </row>
    <row r="33" spans="17:17" x14ac:dyDescent="0.2">
      <c r="Q33" s="334"/>
    </row>
    <row r="34" spans="17:17" x14ac:dyDescent="0.2">
      <c r="Q34" s="334"/>
    </row>
    <row r="35" spans="17:17" x14ac:dyDescent="0.2">
      <c r="Q35" s="334"/>
    </row>
    <row r="36" spans="17:17" x14ac:dyDescent="0.2">
      <c r="Q36" s="334"/>
    </row>
    <row r="37" spans="17:17" x14ac:dyDescent="0.2">
      <c r="Q37" s="334"/>
    </row>
    <row r="38" spans="17:17" x14ac:dyDescent="0.2">
      <c r="Q38" s="334"/>
    </row>
    <row r="39" spans="17:17" x14ac:dyDescent="0.2">
      <c r="Q39" s="334"/>
    </row>
    <row r="40" spans="17:17" x14ac:dyDescent="0.2">
      <c r="Q40" s="334"/>
    </row>
    <row r="41" spans="17:17" x14ac:dyDescent="0.2">
      <c r="Q41" s="334"/>
    </row>
    <row r="42" spans="17:17" x14ac:dyDescent="0.2">
      <c r="Q42" s="334"/>
    </row>
    <row r="43" spans="17:17" x14ac:dyDescent="0.2">
      <c r="Q43" s="334"/>
    </row>
    <row r="44" spans="17:17" x14ac:dyDescent="0.2">
      <c r="Q44" s="334"/>
    </row>
  </sheetData>
  <pageMargins left="0.7" right="0.7" top="0.75" bottom="0.75" header="0.3" footer="0.3"/>
  <pageSetup orientation="portrait" horizontalDpi="4294967294" verticalDpi="4294967294"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C00000"/>
  </sheetPr>
  <dimension ref="A1:R44"/>
  <sheetViews>
    <sheetView workbookViewId="0">
      <pane xSplit="1" ySplit="7" topLeftCell="B8" activePane="bottomRight" state="frozen"/>
      <selection activeCell="A5" sqref="A5"/>
      <selection pane="topRight" activeCell="A5" sqref="A5"/>
      <selection pane="bottomLeft" activeCell="A5" sqref="A5"/>
      <selection pane="bottomRight" activeCell="F31" sqref="F31"/>
    </sheetView>
  </sheetViews>
  <sheetFormatPr defaultRowHeight="12.75" x14ac:dyDescent="0.2"/>
  <cols>
    <col min="1" max="1" width="16.42578125" customWidth="1"/>
    <col min="2" max="2" width="15.85546875" customWidth="1"/>
    <col min="3" max="4" width="16.85546875" customWidth="1"/>
    <col min="5" max="5" width="17" customWidth="1"/>
    <col min="6" max="15" width="13.140625" customWidth="1"/>
  </cols>
  <sheetData>
    <row r="1" spans="1:5" x14ac:dyDescent="0.2">
      <c r="A1" s="342" t="s">
        <v>295</v>
      </c>
    </row>
    <row r="2" spans="1:5" x14ac:dyDescent="0.2">
      <c r="A2" s="330" t="s">
        <v>363</v>
      </c>
    </row>
    <row r="3" spans="1:5" x14ac:dyDescent="0.2">
      <c r="A3" s="330" t="s">
        <v>276</v>
      </c>
    </row>
    <row r="7" spans="1:5" ht="39" thickBot="1" x14ac:dyDescent="0.25">
      <c r="B7" s="331" t="s">
        <v>296</v>
      </c>
      <c r="C7" s="331" t="s">
        <v>297</v>
      </c>
      <c r="D7" s="331" t="s">
        <v>298</v>
      </c>
      <c r="E7" s="338" t="s">
        <v>299</v>
      </c>
    </row>
    <row r="9" spans="1:5" x14ac:dyDescent="0.2">
      <c r="A9" s="332">
        <v>42278</v>
      </c>
      <c r="B9" s="333">
        <f>+[3]MidStates!I43</f>
        <v>171600</v>
      </c>
      <c r="C9" s="333">
        <f>+[3]MidStates!I59</f>
        <v>136264</v>
      </c>
      <c r="D9" s="333">
        <f>+[3]MidStates!I75</f>
        <v>22323</v>
      </c>
      <c r="E9" s="333">
        <f>SUM(B9:D9)</f>
        <v>330187</v>
      </c>
    </row>
    <row r="10" spans="1:5" x14ac:dyDescent="0.2">
      <c r="A10" s="332">
        <v>42309</v>
      </c>
      <c r="B10" s="333">
        <f>+[3]MidStates!I44</f>
        <v>172801</v>
      </c>
      <c r="C10" s="333">
        <f>+[3]MidStates!I60</f>
        <v>137506</v>
      </c>
      <c r="D10" s="333">
        <f>+[3]MidStates!I76</f>
        <v>22575</v>
      </c>
      <c r="E10" s="333">
        <f t="shared" ref="E10:E19" si="0">SUM(B10:D10)</f>
        <v>332882</v>
      </c>
    </row>
    <row r="11" spans="1:5" x14ac:dyDescent="0.2">
      <c r="A11" s="332">
        <v>42339</v>
      </c>
      <c r="B11" s="333">
        <f>+[3]MidStates!I45</f>
        <v>176361</v>
      </c>
      <c r="C11" s="333">
        <f>+[3]MidStates!I61</f>
        <v>139341</v>
      </c>
      <c r="D11" s="333">
        <f>+[3]MidStates!I77</f>
        <v>22819</v>
      </c>
      <c r="E11" s="333">
        <f t="shared" si="0"/>
        <v>338521</v>
      </c>
    </row>
    <row r="12" spans="1:5" x14ac:dyDescent="0.2">
      <c r="A12" s="332">
        <v>42370</v>
      </c>
      <c r="B12" s="333">
        <f>+[3]MidStates!I46</f>
        <v>176567</v>
      </c>
      <c r="C12" s="333">
        <f>+[3]MidStates!I62</f>
        <v>140045</v>
      </c>
      <c r="D12" s="333">
        <f>+[3]MidStates!I78</f>
        <v>22970</v>
      </c>
      <c r="E12" s="333">
        <f t="shared" si="0"/>
        <v>339582</v>
      </c>
    </row>
    <row r="13" spans="1:5" x14ac:dyDescent="0.2">
      <c r="A13" s="332">
        <v>42401</v>
      </c>
      <c r="B13" s="333">
        <f>+[3]MidStates!I47</f>
        <v>177645</v>
      </c>
      <c r="C13" s="333">
        <f>+[3]MidStates!I63</f>
        <v>140701</v>
      </c>
      <c r="D13" s="333">
        <f>+[3]MidStates!I79</f>
        <v>23040</v>
      </c>
      <c r="E13" s="333">
        <f t="shared" si="0"/>
        <v>341386</v>
      </c>
    </row>
    <row r="14" spans="1:5" x14ac:dyDescent="0.2">
      <c r="A14" s="332">
        <v>42430</v>
      </c>
      <c r="B14" s="333">
        <f>+[3]MidStates!I48</f>
        <v>179155</v>
      </c>
      <c r="C14" s="333">
        <f>+[3]MidStates!I64</f>
        <v>141802</v>
      </c>
      <c r="D14" s="333">
        <f>+[3]MidStates!I80</f>
        <v>23177</v>
      </c>
      <c r="E14" s="333">
        <f t="shared" si="0"/>
        <v>344134</v>
      </c>
    </row>
    <row r="15" spans="1:5" x14ac:dyDescent="0.2">
      <c r="A15" s="332">
        <v>42461</v>
      </c>
      <c r="B15" s="333">
        <f>+[3]MidStates!I49</f>
        <v>176838</v>
      </c>
      <c r="C15" s="333">
        <f>+[3]MidStates!I65</f>
        <v>140615</v>
      </c>
      <c r="D15" s="333">
        <f>+[3]MidStates!I81</f>
        <v>22936</v>
      </c>
      <c r="E15" s="333">
        <f t="shared" si="0"/>
        <v>340389</v>
      </c>
    </row>
    <row r="16" spans="1:5" x14ac:dyDescent="0.2">
      <c r="A16" s="332">
        <v>42491</v>
      </c>
      <c r="B16" s="333">
        <f>+[3]MidStates!I50</f>
        <v>177637</v>
      </c>
      <c r="C16" s="333">
        <f>+[3]MidStates!I66</f>
        <v>141303</v>
      </c>
      <c r="D16" s="333">
        <f>+[3]MidStates!I82</f>
        <v>23166</v>
      </c>
      <c r="E16" s="333">
        <f t="shared" si="0"/>
        <v>342106</v>
      </c>
    </row>
    <row r="17" spans="1:5" x14ac:dyDescent="0.2">
      <c r="A17" s="332">
        <v>42522</v>
      </c>
      <c r="B17" s="333">
        <f>+[3]MidStates!I51</f>
        <v>175399</v>
      </c>
      <c r="C17" s="333">
        <f>+[3]MidStates!I67</f>
        <v>140676</v>
      </c>
      <c r="D17" s="333">
        <f>+[3]MidStates!I83</f>
        <v>23133</v>
      </c>
      <c r="E17" s="333">
        <f t="shared" si="0"/>
        <v>339208</v>
      </c>
    </row>
    <row r="18" spans="1:5" x14ac:dyDescent="0.2">
      <c r="A18" s="332">
        <v>42552</v>
      </c>
      <c r="B18" s="333">
        <f>+[3]MidStates!I52</f>
        <v>173395</v>
      </c>
      <c r="C18" s="333">
        <f>+[3]MidStates!I68</f>
        <v>139257</v>
      </c>
      <c r="D18" s="333">
        <f>+[3]MidStates!I84</f>
        <v>22859</v>
      </c>
      <c r="E18" s="333">
        <f t="shared" si="0"/>
        <v>335511</v>
      </c>
    </row>
    <row r="19" spans="1:5" x14ac:dyDescent="0.2">
      <c r="A19" s="332">
        <v>42583</v>
      </c>
      <c r="B19" s="333">
        <f>+[3]MidStates!I53</f>
        <v>174481</v>
      </c>
      <c r="C19" s="333">
        <f>+[3]MidStates!I69</f>
        <v>140278</v>
      </c>
      <c r="D19" s="333">
        <f>+[3]MidStates!I85</f>
        <v>22854</v>
      </c>
      <c r="E19" s="333">
        <f t="shared" si="0"/>
        <v>337613</v>
      </c>
    </row>
    <row r="20" spans="1:5" x14ac:dyDescent="0.2">
      <c r="A20" s="332">
        <v>42614</v>
      </c>
      <c r="B20" s="333">
        <f>+[3]MidStates!I54</f>
        <v>171720</v>
      </c>
      <c r="C20" s="333">
        <f>+[3]MidStates!I70</f>
        <v>138696</v>
      </c>
      <c r="D20" s="333">
        <f>+[3]MidStates!I86</f>
        <v>22499</v>
      </c>
      <c r="E20" s="333">
        <f>SUM(B20:D20)</f>
        <v>332915</v>
      </c>
    </row>
    <row r="21" spans="1:5" x14ac:dyDescent="0.2">
      <c r="A21" s="332"/>
    </row>
    <row r="22" spans="1:5" x14ac:dyDescent="0.2">
      <c r="A22" s="335" t="s">
        <v>279</v>
      </c>
      <c r="B22" s="336">
        <f>SUM(B9:B21)/12</f>
        <v>175299.91666666666</v>
      </c>
      <c r="C22" s="336">
        <f>SUM(C9:C21)/12</f>
        <v>139707</v>
      </c>
      <c r="D22" s="336">
        <f t="shared" ref="D22:E22" si="1">SUM(D9:D21)/12</f>
        <v>22862.583333333332</v>
      </c>
      <c r="E22" s="336">
        <f t="shared" si="1"/>
        <v>337869.5</v>
      </c>
    </row>
    <row r="23" spans="1:5" x14ac:dyDescent="0.2">
      <c r="A23" s="332"/>
    </row>
    <row r="24" spans="1:5" x14ac:dyDescent="0.2">
      <c r="A24" s="332"/>
    </row>
    <row r="33" spans="18:18" x14ac:dyDescent="0.2">
      <c r="R33" s="334"/>
    </row>
    <row r="34" spans="18:18" x14ac:dyDescent="0.2">
      <c r="R34" s="334"/>
    </row>
    <row r="35" spans="18:18" x14ac:dyDescent="0.2">
      <c r="R35" s="334"/>
    </row>
    <row r="36" spans="18:18" x14ac:dyDescent="0.2">
      <c r="R36" s="334"/>
    </row>
    <row r="37" spans="18:18" x14ac:dyDescent="0.2">
      <c r="R37" s="334"/>
    </row>
    <row r="38" spans="18:18" x14ac:dyDescent="0.2">
      <c r="R38" s="334"/>
    </row>
    <row r="39" spans="18:18" x14ac:dyDescent="0.2">
      <c r="R39" s="334"/>
    </row>
    <row r="40" spans="18:18" x14ac:dyDescent="0.2">
      <c r="R40" s="334"/>
    </row>
    <row r="41" spans="18:18" x14ac:dyDescent="0.2">
      <c r="R41" s="334"/>
    </row>
    <row r="42" spans="18:18" x14ac:dyDescent="0.2">
      <c r="R42" s="334"/>
    </row>
    <row r="43" spans="18:18" x14ac:dyDescent="0.2">
      <c r="R43" s="334"/>
    </row>
    <row r="44" spans="18:18" x14ac:dyDescent="0.2">
      <c r="R44" s="334"/>
    </row>
  </sheetData>
  <pageMargins left="0.7" right="0.7" top="0.75" bottom="0.75" header="0.3" footer="0.3"/>
  <pageSetup orientation="portrait" horizontalDpi="4294967294" verticalDpi="4294967294"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C00000"/>
  </sheetPr>
  <dimension ref="A1:O44"/>
  <sheetViews>
    <sheetView workbookViewId="0">
      <pane xSplit="1" ySplit="7" topLeftCell="B8" activePane="bottomRight" state="frozen"/>
      <selection activeCell="A5" sqref="A5"/>
      <selection pane="topRight" activeCell="A5" sqref="A5"/>
      <selection pane="bottomLeft" activeCell="A5" sqref="A5"/>
      <selection pane="bottomRight" activeCell="B20" sqref="B9:B20"/>
    </sheetView>
  </sheetViews>
  <sheetFormatPr defaultRowHeight="12.75" x14ac:dyDescent="0.2"/>
  <cols>
    <col min="1" max="1" width="16.42578125" customWidth="1"/>
    <col min="2" max="2" width="15.85546875" customWidth="1"/>
    <col min="3" max="12" width="13.140625" customWidth="1"/>
  </cols>
  <sheetData>
    <row r="1" spans="1:2" x14ac:dyDescent="0.2">
      <c r="A1" s="343" t="s">
        <v>307</v>
      </c>
    </row>
    <row r="2" spans="1:2" x14ac:dyDescent="0.2">
      <c r="A2" s="344" t="s">
        <v>363</v>
      </c>
    </row>
    <row r="3" spans="1:2" x14ac:dyDescent="0.2">
      <c r="A3" s="330" t="s">
        <v>276</v>
      </c>
    </row>
    <row r="7" spans="1:2" ht="39" thickBot="1" x14ac:dyDescent="0.25">
      <c r="B7" s="345" t="s">
        <v>308</v>
      </c>
    </row>
    <row r="9" spans="1:2" x14ac:dyDescent="0.2">
      <c r="A9" s="332">
        <v>42278</v>
      </c>
      <c r="B9" s="204">
        <f>+[3]MS!I38</f>
        <v>252633</v>
      </c>
    </row>
    <row r="10" spans="1:2" x14ac:dyDescent="0.2">
      <c r="A10" s="332">
        <v>42309</v>
      </c>
      <c r="B10" s="204">
        <f>+[3]MS!I39</f>
        <v>252093</v>
      </c>
    </row>
    <row r="11" spans="1:2" x14ac:dyDescent="0.2">
      <c r="A11" s="332">
        <v>42339</v>
      </c>
      <c r="B11" s="204">
        <f>+[3]MS!I40</f>
        <v>255665</v>
      </c>
    </row>
    <row r="12" spans="1:2" x14ac:dyDescent="0.2">
      <c r="A12" s="332">
        <v>42370</v>
      </c>
      <c r="B12" s="204">
        <f>+[3]MS!I41</f>
        <v>258449</v>
      </c>
    </row>
    <row r="13" spans="1:2" x14ac:dyDescent="0.2">
      <c r="A13" s="332">
        <v>42401</v>
      </c>
      <c r="B13" s="204">
        <f>+[3]MS!I42</f>
        <v>257807</v>
      </c>
    </row>
    <row r="14" spans="1:2" x14ac:dyDescent="0.2">
      <c r="A14" s="332">
        <v>42430</v>
      </c>
      <c r="B14" s="204">
        <f>+[3]MS!I43</f>
        <v>260280</v>
      </c>
    </row>
    <row r="15" spans="1:2" x14ac:dyDescent="0.2">
      <c r="A15" s="332">
        <v>42461</v>
      </c>
      <c r="B15" s="204">
        <f>+[3]MS!I44</f>
        <v>258256</v>
      </c>
    </row>
    <row r="16" spans="1:2" x14ac:dyDescent="0.2">
      <c r="A16" s="332">
        <v>42491</v>
      </c>
      <c r="B16" s="204">
        <f>+[3]MS!I45</f>
        <v>257902</v>
      </c>
    </row>
    <row r="17" spans="1:2" x14ac:dyDescent="0.2">
      <c r="A17" s="332">
        <v>42522</v>
      </c>
      <c r="B17" s="204">
        <f>+[3]MS!I46</f>
        <v>231620</v>
      </c>
    </row>
    <row r="18" spans="1:2" x14ac:dyDescent="0.2">
      <c r="A18" s="332">
        <v>42552</v>
      </c>
      <c r="B18" s="204">
        <f>+[3]MS!I47</f>
        <v>229652</v>
      </c>
    </row>
    <row r="19" spans="1:2" x14ac:dyDescent="0.2">
      <c r="A19" s="332">
        <v>42583</v>
      </c>
      <c r="B19" s="204">
        <f>+[3]MS!I48</f>
        <v>231991</v>
      </c>
    </row>
    <row r="20" spans="1:2" x14ac:dyDescent="0.2">
      <c r="A20" s="332">
        <v>42614</v>
      </c>
      <c r="B20" s="204">
        <f>+[3]MS!I49</f>
        <v>227669</v>
      </c>
    </row>
    <row r="21" spans="1:2" x14ac:dyDescent="0.2">
      <c r="A21" s="332"/>
    </row>
    <row r="22" spans="1:2" x14ac:dyDescent="0.2">
      <c r="A22" s="335" t="s">
        <v>279</v>
      </c>
      <c r="B22" s="336">
        <f>SUM(B9:B21)/12</f>
        <v>247834.75</v>
      </c>
    </row>
    <row r="23" spans="1:2" x14ac:dyDescent="0.2">
      <c r="A23" s="332"/>
    </row>
    <row r="24" spans="1:2" x14ac:dyDescent="0.2">
      <c r="A24" s="332"/>
    </row>
    <row r="33" spans="15:15" x14ac:dyDescent="0.2">
      <c r="O33" s="334"/>
    </row>
    <row r="34" spans="15:15" x14ac:dyDescent="0.2">
      <c r="O34" s="334"/>
    </row>
    <row r="35" spans="15:15" x14ac:dyDescent="0.2">
      <c r="O35" s="334"/>
    </row>
    <row r="36" spans="15:15" x14ac:dyDescent="0.2">
      <c r="O36" s="334"/>
    </row>
    <row r="37" spans="15:15" x14ac:dyDescent="0.2">
      <c r="O37" s="334"/>
    </row>
    <row r="38" spans="15:15" x14ac:dyDescent="0.2">
      <c r="O38" s="334"/>
    </row>
    <row r="39" spans="15:15" x14ac:dyDescent="0.2">
      <c r="O39" s="334"/>
    </row>
    <row r="40" spans="15:15" x14ac:dyDescent="0.2">
      <c r="O40" s="334"/>
    </row>
    <row r="41" spans="15:15" x14ac:dyDescent="0.2">
      <c r="O41" s="334"/>
    </row>
    <row r="42" spans="15:15" x14ac:dyDescent="0.2">
      <c r="O42" s="334"/>
    </row>
    <row r="43" spans="15:15" x14ac:dyDescent="0.2">
      <c r="O43" s="334"/>
    </row>
    <row r="44" spans="15:15" x14ac:dyDescent="0.2">
      <c r="O44" s="334"/>
    </row>
  </sheetData>
  <pageMargins left="0.7" right="0.7" top="0.75" bottom="0.75" header="0.3" footer="0.3"/>
  <pageSetup orientation="portrait" horizontalDpi="4294967294" verticalDpi="429496729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C00000"/>
  </sheetPr>
  <dimension ref="A1:O44"/>
  <sheetViews>
    <sheetView workbookViewId="0">
      <pane xSplit="1" ySplit="7" topLeftCell="B8" activePane="bottomRight" state="frozen"/>
      <selection activeCell="A5" sqref="A5"/>
      <selection pane="topRight" activeCell="A5" sqref="A5"/>
      <selection pane="bottomLeft" activeCell="A5" sqref="A5"/>
      <selection pane="bottomRight" activeCell="B20" sqref="B9:B20"/>
    </sheetView>
  </sheetViews>
  <sheetFormatPr defaultRowHeight="12.75" x14ac:dyDescent="0.2"/>
  <cols>
    <col min="1" max="1" width="16.42578125" customWidth="1"/>
    <col min="2" max="2" width="15.85546875" customWidth="1"/>
    <col min="3" max="12" width="13.140625" customWidth="1"/>
  </cols>
  <sheetData>
    <row r="1" spans="1:2" x14ac:dyDescent="0.2">
      <c r="A1" s="344" t="s">
        <v>309</v>
      </c>
    </row>
    <row r="2" spans="1:2" x14ac:dyDescent="0.2">
      <c r="A2" s="344" t="s">
        <v>363</v>
      </c>
    </row>
    <row r="3" spans="1:2" x14ac:dyDescent="0.2">
      <c r="A3" s="330" t="s">
        <v>276</v>
      </c>
    </row>
    <row r="7" spans="1:2" ht="13.5" thickBot="1" x14ac:dyDescent="0.25">
      <c r="B7" s="331" t="s">
        <v>310</v>
      </c>
    </row>
    <row r="9" spans="1:2" x14ac:dyDescent="0.2">
      <c r="A9" s="332">
        <v>42278</v>
      </c>
      <c r="B9" s="333">
        <v>1588871</v>
      </c>
    </row>
    <row r="10" spans="1:2" x14ac:dyDescent="0.2">
      <c r="A10" s="332">
        <v>42309</v>
      </c>
      <c r="B10" s="333">
        <v>1586707</v>
      </c>
    </row>
    <row r="11" spans="1:2" x14ac:dyDescent="0.2">
      <c r="A11" s="332">
        <v>42339</v>
      </c>
      <c r="B11" s="333">
        <v>1604210</v>
      </c>
    </row>
    <row r="12" spans="1:2" x14ac:dyDescent="0.2">
      <c r="A12" s="332">
        <v>42370</v>
      </c>
      <c r="B12" s="333">
        <v>1607789</v>
      </c>
    </row>
    <row r="13" spans="1:2" x14ac:dyDescent="0.2">
      <c r="A13" s="332">
        <v>42401</v>
      </c>
      <c r="B13" s="333">
        <v>1605050</v>
      </c>
    </row>
    <row r="14" spans="1:2" x14ac:dyDescent="0.2">
      <c r="A14" s="332">
        <v>42430</v>
      </c>
      <c r="B14" s="333">
        <v>1617772</v>
      </c>
    </row>
    <row r="15" spans="1:2" x14ac:dyDescent="0.2">
      <c r="A15" s="332">
        <v>42461</v>
      </c>
      <c r="B15" s="333">
        <v>1603623</v>
      </c>
    </row>
    <row r="16" spans="1:2" x14ac:dyDescent="0.2">
      <c r="A16" s="332">
        <v>42491</v>
      </c>
      <c r="B16" s="333">
        <v>1622757</v>
      </c>
    </row>
    <row r="17" spans="1:2" x14ac:dyDescent="0.2">
      <c r="A17" s="332">
        <v>42522</v>
      </c>
      <c r="B17" s="333">
        <v>1616579</v>
      </c>
    </row>
    <row r="18" spans="1:2" x14ac:dyDescent="0.2">
      <c r="A18" s="332">
        <v>42552</v>
      </c>
      <c r="B18" s="333">
        <v>1611110</v>
      </c>
    </row>
    <row r="19" spans="1:2" x14ac:dyDescent="0.2">
      <c r="A19" s="332">
        <v>42583</v>
      </c>
      <c r="B19" s="333">
        <v>1618945</v>
      </c>
    </row>
    <row r="20" spans="1:2" x14ac:dyDescent="0.2">
      <c r="A20" s="332">
        <v>42614</v>
      </c>
      <c r="B20" s="333">
        <v>1607342</v>
      </c>
    </row>
    <row r="21" spans="1:2" x14ac:dyDescent="0.2">
      <c r="A21" s="332"/>
    </row>
    <row r="22" spans="1:2" x14ac:dyDescent="0.2">
      <c r="A22" s="335" t="s">
        <v>279</v>
      </c>
      <c r="B22" s="336">
        <f>SUM(B9:B21)/12</f>
        <v>1607562.9166666667</v>
      </c>
    </row>
    <row r="23" spans="1:2" x14ac:dyDescent="0.2">
      <c r="A23" s="332"/>
    </row>
    <row r="24" spans="1:2" x14ac:dyDescent="0.2">
      <c r="A24" s="332"/>
    </row>
    <row r="33" spans="15:15" x14ac:dyDescent="0.2">
      <c r="O33" s="334"/>
    </row>
    <row r="34" spans="15:15" x14ac:dyDescent="0.2">
      <c r="O34" s="334"/>
    </row>
    <row r="35" spans="15:15" x14ac:dyDescent="0.2">
      <c r="O35" s="334"/>
    </row>
    <row r="36" spans="15:15" x14ac:dyDescent="0.2">
      <c r="O36" s="334"/>
    </row>
    <row r="37" spans="15:15" x14ac:dyDescent="0.2">
      <c r="O37" s="334"/>
    </row>
    <row r="38" spans="15:15" x14ac:dyDescent="0.2">
      <c r="O38" s="334"/>
    </row>
    <row r="39" spans="15:15" x14ac:dyDescent="0.2">
      <c r="O39" s="334"/>
    </row>
    <row r="40" spans="15:15" x14ac:dyDescent="0.2">
      <c r="O40" s="334"/>
    </row>
    <row r="41" spans="15:15" x14ac:dyDescent="0.2">
      <c r="O41" s="334"/>
    </row>
    <row r="42" spans="15:15" x14ac:dyDescent="0.2">
      <c r="O42" s="334"/>
    </row>
    <row r="43" spans="15:15" x14ac:dyDescent="0.2">
      <c r="O43" s="334"/>
    </row>
    <row r="44" spans="15:15" x14ac:dyDescent="0.2">
      <c r="O44" s="334"/>
    </row>
  </sheetData>
  <pageMargins left="0.7" right="0.7" top="0.75" bottom="0.75" header="0.3" footer="0.3"/>
  <pageSetup orientation="portrait" horizontalDpi="4294967294" verticalDpi="4294967294"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C00000"/>
  </sheetPr>
  <dimension ref="A2:E23"/>
  <sheetViews>
    <sheetView workbookViewId="0">
      <selection activeCell="D14" sqref="D14"/>
    </sheetView>
  </sheetViews>
  <sheetFormatPr defaultRowHeight="12.75" x14ac:dyDescent="0.2"/>
  <cols>
    <col min="2" max="2" width="14.140625" customWidth="1"/>
    <col min="3" max="3" width="12" customWidth="1"/>
    <col min="4" max="4" width="13" customWidth="1"/>
    <col min="258" max="258" width="14.140625" customWidth="1"/>
    <col min="259" max="259" width="12" customWidth="1"/>
    <col min="260" max="260" width="13" customWidth="1"/>
    <col min="514" max="514" width="14.140625" customWidth="1"/>
    <col min="515" max="515" width="12" customWidth="1"/>
    <col min="516" max="516" width="13" customWidth="1"/>
    <col min="770" max="770" width="14.140625" customWidth="1"/>
    <col min="771" max="771" width="12" customWidth="1"/>
    <col min="772" max="772" width="13" customWidth="1"/>
    <col min="1026" max="1026" width="14.140625" customWidth="1"/>
    <col min="1027" max="1027" width="12" customWidth="1"/>
    <col min="1028" max="1028" width="13" customWidth="1"/>
    <col min="1282" max="1282" width="14.140625" customWidth="1"/>
    <col min="1283" max="1283" width="12" customWidth="1"/>
    <col min="1284" max="1284" width="13" customWidth="1"/>
    <col min="1538" max="1538" width="14.140625" customWidth="1"/>
    <col min="1539" max="1539" width="12" customWidth="1"/>
    <col min="1540" max="1540" width="13" customWidth="1"/>
    <col min="1794" max="1794" width="14.140625" customWidth="1"/>
    <col min="1795" max="1795" width="12" customWidth="1"/>
    <col min="1796" max="1796" width="13" customWidth="1"/>
    <col min="2050" max="2050" width="14.140625" customWidth="1"/>
    <col min="2051" max="2051" width="12" customWidth="1"/>
    <col min="2052" max="2052" width="13" customWidth="1"/>
    <col min="2306" max="2306" width="14.140625" customWidth="1"/>
    <col min="2307" max="2307" width="12" customWidth="1"/>
    <col min="2308" max="2308" width="13" customWidth="1"/>
    <col min="2562" max="2562" width="14.140625" customWidth="1"/>
    <col min="2563" max="2563" width="12" customWidth="1"/>
    <col min="2564" max="2564" width="13" customWidth="1"/>
    <col min="2818" max="2818" width="14.140625" customWidth="1"/>
    <col min="2819" max="2819" width="12" customWidth="1"/>
    <col min="2820" max="2820" width="13" customWidth="1"/>
    <col min="3074" max="3074" width="14.140625" customWidth="1"/>
    <col min="3075" max="3075" width="12" customWidth="1"/>
    <col min="3076" max="3076" width="13" customWidth="1"/>
    <col min="3330" max="3330" width="14.140625" customWidth="1"/>
    <col min="3331" max="3331" width="12" customWidth="1"/>
    <col min="3332" max="3332" width="13" customWidth="1"/>
    <col min="3586" max="3586" width="14.140625" customWidth="1"/>
    <col min="3587" max="3587" width="12" customWidth="1"/>
    <col min="3588" max="3588" width="13" customWidth="1"/>
    <col min="3842" max="3842" width="14.140625" customWidth="1"/>
    <col min="3843" max="3843" width="12" customWidth="1"/>
    <col min="3844" max="3844" width="13" customWidth="1"/>
    <col min="4098" max="4098" width="14.140625" customWidth="1"/>
    <col min="4099" max="4099" width="12" customWidth="1"/>
    <col min="4100" max="4100" width="13" customWidth="1"/>
    <col min="4354" max="4354" width="14.140625" customWidth="1"/>
    <col min="4355" max="4355" width="12" customWidth="1"/>
    <col min="4356" max="4356" width="13" customWidth="1"/>
    <col min="4610" max="4610" width="14.140625" customWidth="1"/>
    <col min="4611" max="4611" width="12" customWidth="1"/>
    <col min="4612" max="4612" width="13" customWidth="1"/>
    <col min="4866" max="4866" width="14.140625" customWidth="1"/>
    <col min="4867" max="4867" width="12" customWidth="1"/>
    <col min="4868" max="4868" width="13" customWidth="1"/>
    <col min="5122" max="5122" width="14.140625" customWidth="1"/>
    <col min="5123" max="5123" width="12" customWidth="1"/>
    <col min="5124" max="5124" width="13" customWidth="1"/>
    <col min="5378" max="5378" width="14.140625" customWidth="1"/>
    <col min="5379" max="5379" width="12" customWidth="1"/>
    <col min="5380" max="5380" width="13" customWidth="1"/>
    <col min="5634" max="5634" width="14.140625" customWidth="1"/>
    <col min="5635" max="5635" width="12" customWidth="1"/>
    <col min="5636" max="5636" width="13" customWidth="1"/>
    <col min="5890" max="5890" width="14.140625" customWidth="1"/>
    <col min="5891" max="5891" width="12" customWidth="1"/>
    <col min="5892" max="5892" width="13" customWidth="1"/>
    <col min="6146" max="6146" width="14.140625" customWidth="1"/>
    <col min="6147" max="6147" width="12" customWidth="1"/>
    <col min="6148" max="6148" width="13" customWidth="1"/>
    <col min="6402" max="6402" width="14.140625" customWidth="1"/>
    <col min="6403" max="6403" width="12" customWidth="1"/>
    <col min="6404" max="6404" width="13" customWidth="1"/>
    <col min="6658" max="6658" width="14.140625" customWidth="1"/>
    <col min="6659" max="6659" width="12" customWidth="1"/>
    <col min="6660" max="6660" width="13" customWidth="1"/>
    <col min="6914" max="6914" width="14.140625" customWidth="1"/>
    <col min="6915" max="6915" width="12" customWidth="1"/>
    <col min="6916" max="6916" width="13" customWidth="1"/>
    <col min="7170" max="7170" width="14.140625" customWidth="1"/>
    <col min="7171" max="7171" width="12" customWidth="1"/>
    <col min="7172" max="7172" width="13" customWidth="1"/>
    <col min="7426" max="7426" width="14.140625" customWidth="1"/>
    <col min="7427" max="7427" width="12" customWidth="1"/>
    <col min="7428" max="7428" width="13" customWidth="1"/>
    <col min="7682" max="7682" width="14.140625" customWidth="1"/>
    <col min="7683" max="7683" width="12" customWidth="1"/>
    <col min="7684" max="7684" width="13" customWidth="1"/>
    <col min="7938" max="7938" width="14.140625" customWidth="1"/>
    <col min="7939" max="7939" width="12" customWidth="1"/>
    <col min="7940" max="7940" width="13" customWidth="1"/>
    <col min="8194" max="8194" width="14.140625" customWidth="1"/>
    <col min="8195" max="8195" width="12" customWidth="1"/>
    <col min="8196" max="8196" width="13" customWidth="1"/>
    <col min="8450" max="8450" width="14.140625" customWidth="1"/>
    <col min="8451" max="8451" width="12" customWidth="1"/>
    <col min="8452" max="8452" width="13" customWidth="1"/>
    <col min="8706" max="8706" width="14.140625" customWidth="1"/>
    <col min="8707" max="8707" width="12" customWidth="1"/>
    <col min="8708" max="8708" width="13" customWidth="1"/>
    <col min="8962" max="8962" width="14.140625" customWidth="1"/>
    <col min="8963" max="8963" width="12" customWidth="1"/>
    <col min="8964" max="8964" width="13" customWidth="1"/>
    <col min="9218" max="9218" width="14.140625" customWidth="1"/>
    <col min="9219" max="9219" width="12" customWidth="1"/>
    <col min="9220" max="9220" width="13" customWidth="1"/>
    <col min="9474" max="9474" width="14.140625" customWidth="1"/>
    <col min="9475" max="9475" width="12" customWidth="1"/>
    <col min="9476" max="9476" width="13" customWidth="1"/>
    <col min="9730" max="9730" width="14.140625" customWidth="1"/>
    <col min="9731" max="9731" width="12" customWidth="1"/>
    <col min="9732" max="9732" width="13" customWidth="1"/>
    <col min="9986" max="9986" width="14.140625" customWidth="1"/>
    <col min="9987" max="9987" width="12" customWidth="1"/>
    <col min="9988" max="9988" width="13" customWidth="1"/>
    <col min="10242" max="10242" width="14.140625" customWidth="1"/>
    <col min="10243" max="10243" width="12" customWidth="1"/>
    <col min="10244" max="10244" width="13" customWidth="1"/>
    <col min="10498" max="10498" width="14.140625" customWidth="1"/>
    <col min="10499" max="10499" width="12" customWidth="1"/>
    <col min="10500" max="10500" width="13" customWidth="1"/>
    <col min="10754" max="10754" width="14.140625" customWidth="1"/>
    <col min="10755" max="10755" width="12" customWidth="1"/>
    <col min="10756" max="10756" width="13" customWidth="1"/>
    <col min="11010" max="11010" width="14.140625" customWidth="1"/>
    <col min="11011" max="11011" width="12" customWidth="1"/>
    <col min="11012" max="11012" width="13" customWidth="1"/>
    <col min="11266" max="11266" width="14.140625" customWidth="1"/>
    <col min="11267" max="11267" width="12" customWidth="1"/>
    <col min="11268" max="11268" width="13" customWidth="1"/>
    <col min="11522" max="11522" width="14.140625" customWidth="1"/>
    <col min="11523" max="11523" width="12" customWidth="1"/>
    <col min="11524" max="11524" width="13" customWidth="1"/>
    <col min="11778" max="11778" width="14.140625" customWidth="1"/>
    <col min="11779" max="11779" width="12" customWidth="1"/>
    <col min="11780" max="11780" width="13" customWidth="1"/>
    <col min="12034" max="12034" width="14.140625" customWidth="1"/>
    <col min="12035" max="12035" width="12" customWidth="1"/>
    <col min="12036" max="12036" width="13" customWidth="1"/>
    <col min="12290" max="12290" width="14.140625" customWidth="1"/>
    <col min="12291" max="12291" width="12" customWidth="1"/>
    <col min="12292" max="12292" width="13" customWidth="1"/>
    <col min="12546" max="12546" width="14.140625" customWidth="1"/>
    <col min="12547" max="12547" width="12" customWidth="1"/>
    <col min="12548" max="12548" width="13" customWidth="1"/>
    <col min="12802" max="12802" width="14.140625" customWidth="1"/>
    <col min="12803" max="12803" width="12" customWidth="1"/>
    <col min="12804" max="12804" width="13" customWidth="1"/>
    <col min="13058" max="13058" width="14.140625" customWidth="1"/>
    <col min="13059" max="13059" width="12" customWidth="1"/>
    <col min="13060" max="13060" width="13" customWidth="1"/>
    <col min="13314" max="13314" width="14.140625" customWidth="1"/>
    <col min="13315" max="13315" width="12" customWidth="1"/>
    <col min="13316" max="13316" width="13" customWidth="1"/>
    <col min="13570" max="13570" width="14.140625" customWidth="1"/>
    <col min="13571" max="13571" width="12" customWidth="1"/>
    <col min="13572" max="13572" width="13" customWidth="1"/>
    <col min="13826" max="13826" width="14.140625" customWidth="1"/>
    <col min="13827" max="13827" width="12" customWidth="1"/>
    <col min="13828" max="13828" width="13" customWidth="1"/>
    <col min="14082" max="14082" width="14.140625" customWidth="1"/>
    <col min="14083" max="14083" width="12" customWidth="1"/>
    <col min="14084" max="14084" width="13" customWidth="1"/>
    <col min="14338" max="14338" width="14.140625" customWidth="1"/>
    <col min="14339" max="14339" width="12" customWidth="1"/>
    <col min="14340" max="14340" width="13" customWidth="1"/>
    <col min="14594" max="14594" width="14.140625" customWidth="1"/>
    <col min="14595" max="14595" width="12" customWidth="1"/>
    <col min="14596" max="14596" width="13" customWidth="1"/>
    <col min="14850" max="14850" width="14.140625" customWidth="1"/>
    <col min="14851" max="14851" width="12" customWidth="1"/>
    <col min="14852" max="14852" width="13" customWidth="1"/>
    <col min="15106" max="15106" width="14.140625" customWidth="1"/>
    <col min="15107" max="15107" width="12" customWidth="1"/>
    <col min="15108" max="15108" width="13" customWidth="1"/>
    <col min="15362" max="15362" width="14.140625" customWidth="1"/>
    <col min="15363" max="15363" width="12" customWidth="1"/>
    <col min="15364" max="15364" width="13" customWidth="1"/>
    <col min="15618" max="15618" width="14.140625" customWidth="1"/>
    <col min="15619" max="15619" width="12" customWidth="1"/>
    <col min="15620" max="15620" width="13" customWidth="1"/>
    <col min="15874" max="15874" width="14.140625" customWidth="1"/>
    <col min="15875" max="15875" width="12" customWidth="1"/>
    <col min="15876" max="15876" width="13" customWidth="1"/>
    <col min="16130" max="16130" width="14.140625" customWidth="1"/>
    <col min="16131" max="16131" width="12" customWidth="1"/>
    <col min="16132" max="16132" width="13" customWidth="1"/>
  </cols>
  <sheetData>
    <row r="2" spans="2:5" x14ac:dyDescent="0.2">
      <c r="B2" t="s">
        <v>311</v>
      </c>
    </row>
    <row r="3" spans="2:5" x14ac:dyDescent="0.2">
      <c r="B3" s="346" t="s">
        <v>312</v>
      </c>
      <c r="C3" s="346"/>
      <c r="D3" s="346"/>
    </row>
    <row r="5" spans="2:5" ht="13.5" thickBot="1" x14ac:dyDescent="0.25">
      <c r="B5" s="347" t="s">
        <v>313</v>
      </c>
      <c r="C5" s="347" t="s">
        <v>314</v>
      </c>
      <c r="D5" s="348" t="s">
        <v>315</v>
      </c>
    </row>
    <row r="6" spans="2:5" ht="15.75" thickTop="1" x14ac:dyDescent="0.25">
      <c r="B6" s="349">
        <v>42278</v>
      </c>
      <c r="C6" s="349">
        <v>42248</v>
      </c>
      <c r="D6" s="350">
        <v>320</v>
      </c>
    </row>
    <row r="7" spans="2:5" ht="15" x14ac:dyDescent="0.25">
      <c r="B7" s="351">
        <v>42309</v>
      </c>
      <c r="C7" s="351">
        <v>42278</v>
      </c>
      <c r="D7" s="352">
        <v>330</v>
      </c>
    </row>
    <row r="8" spans="2:5" ht="15" x14ac:dyDescent="0.25">
      <c r="B8" s="351">
        <v>42339</v>
      </c>
      <c r="C8" s="351">
        <v>42309</v>
      </c>
      <c r="D8" s="352">
        <v>324</v>
      </c>
    </row>
    <row r="9" spans="2:5" ht="15" x14ac:dyDescent="0.25">
      <c r="B9" s="351">
        <v>42370</v>
      </c>
      <c r="C9" s="351">
        <v>42339</v>
      </c>
      <c r="D9" s="352">
        <v>342</v>
      </c>
    </row>
    <row r="10" spans="2:5" ht="15" x14ac:dyDescent="0.25">
      <c r="B10" s="351">
        <v>42401</v>
      </c>
      <c r="C10" s="351">
        <v>42370</v>
      </c>
      <c r="D10" s="352">
        <v>326</v>
      </c>
    </row>
    <row r="11" spans="2:5" ht="15" x14ac:dyDescent="0.25">
      <c r="B11" s="351">
        <v>42430</v>
      </c>
      <c r="C11" s="351">
        <v>42401</v>
      </c>
      <c r="D11" s="352">
        <v>316</v>
      </c>
    </row>
    <row r="12" spans="2:5" ht="15" x14ac:dyDescent="0.25">
      <c r="B12" s="351">
        <v>42461</v>
      </c>
      <c r="C12" s="351">
        <v>42430</v>
      </c>
      <c r="D12" s="352">
        <v>305</v>
      </c>
    </row>
    <row r="13" spans="2:5" ht="15" x14ac:dyDescent="0.25">
      <c r="B13" s="351">
        <v>42491</v>
      </c>
      <c r="C13" s="351">
        <v>42461</v>
      </c>
      <c r="D13" s="352">
        <v>314</v>
      </c>
    </row>
    <row r="14" spans="2:5" ht="15.75" x14ac:dyDescent="0.25">
      <c r="B14" s="351">
        <v>42522</v>
      </c>
      <c r="C14" s="351">
        <v>42491</v>
      </c>
      <c r="D14" s="352">
        <v>305</v>
      </c>
      <c r="E14" s="353"/>
    </row>
    <row r="15" spans="2:5" ht="15" x14ac:dyDescent="0.25">
      <c r="B15" s="351">
        <v>42552</v>
      </c>
      <c r="C15" s="351">
        <v>42522</v>
      </c>
      <c r="D15" s="352">
        <v>302</v>
      </c>
    </row>
    <row r="16" spans="2:5" ht="15" x14ac:dyDescent="0.25">
      <c r="B16" s="351">
        <v>42583</v>
      </c>
      <c r="C16" s="351">
        <v>42552</v>
      </c>
      <c r="D16" s="352">
        <v>304</v>
      </c>
    </row>
    <row r="17" spans="1:4" ht="15.75" thickBot="1" x14ac:dyDescent="0.3">
      <c r="B17" s="351">
        <v>42614</v>
      </c>
      <c r="C17" s="351">
        <v>42583</v>
      </c>
      <c r="D17" s="352">
        <v>301</v>
      </c>
    </row>
    <row r="18" spans="1:4" x14ac:dyDescent="0.2">
      <c r="C18" s="114" t="s">
        <v>316</v>
      </c>
      <c r="D18" s="354">
        <f>SUM(D6:D17)/12</f>
        <v>315.75</v>
      </c>
    </row>
    <row r="23" spans="1:4" x14ac:dyDescent="0.2">
      <c r="A23" s="355" t="s">
        <v>317</v>
      </c>
      <c r="B23" s="355"/>
    </row>
  </sheetData>
  <pageMargins left="0.7" right="0.7" top="0.75" bottom="0.75" header="0.3" footer="0.3"/>
  <pageSetup orientation="portrait" horizontalDpi="4294967294" verticalDpi="4294967294"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C00000"/>
  </sheetPr>
  <dimension ref="A1:S25"/>
  <sheetViews>
    <sheetView workbookViewId="0">
      <selection activeCell="A16" sqref="A16"/>
    </sheetView>
  </sheetViews>
  <sheetFormatPr defaultRowHeight="12.75" x14ac:dyDescent="0.2"/>
  <cols>
    <col min="1" max="1" width="31.42578125" bestFit="1" customWidth="1"/>
    <col min="2" max="3" width="8.42578125" customWidth="1"/>
    <col min="4" max="4" width="7.28515625" customWidth="1"/>
    <col min="5" max="7" width="8.42578125" customWidth="1"/>
    <col min="8" max="8" width="7.28515625" customWidth="1"/>
    <col min="9" max="11" width="8.42578125" customWidth="1"/>
    <col min="12" max="12" width="6.85546875" customWidth="1"/>
    <col min="13" max="13" width="8.28515625" customWidth="1"/>
    <col min="14" max="15" width="8.42578125" customWidth="1"/>
    <col min="16" max="17" width="7.85546875" customWidth="1"/>
    <col min="18" max="18" width="2.7109375" style="10" customWidth="1"/>
  </cols>
  <sheetData>
    <row r="1" spans="1:19" x14ac:dyDescent="0.2">
      <c r="A1" s="306" t="s">
        <v>343</v>
      </c>
      <c r="B1" s="307">
        <v>212</v>
      </c>
    </row>
    <row r="2" spans="1:19" ht="13.5" thickBot="1" x14ac:dyDescent="0.25">
      <c r="A2" s="308" t="s">
        <v>344</v>
      </c>
    </row>
    <row r="3" spans="1:19" x14ac:dyDescent="0.2">
      <c r="A3" s="307"/>
    </row>
    <row r="6" spans="1:19" x14ac:dyDescent="0.2">
      <c r="A6" s="309" t="s">
        <v>345</v>
      </c>
      <c r="B6" s="310">
        <v>42278</v>
      </c>
      <c r="C6" s="310">
        <v>42309</v>
      </c>
      <c r="D6" s="310">
        <v>42339</v>
      </c>
      <c r="E6" s="311" t="s">
        <v>346</v>
      </c>
      <c r="F6" s="310">
        <v>42370</v>
      </c>
      <c r="G6" s="310">
        <v>42401</v>
      </c>
      <c r="H6" s="310">
        <v>42440</v>
      </c>
      <c r="I6" s="311" t="s">
        <v>347</v>
      </c>
      <c r="J6" s="310">
        <v>42461</v>
      </c>
      <c r="K6" s="310">
        <v>42491</v>
      </c>
      <c r="L6" s="310">
        <v>42539</v>
      </c>
      <c r="M6" s="311" t="s">
        <v>348</v>
      </c>
      <c r="N6" s="312" t="s">
        <v>349</v>
      </c>
      <c r="O6" s="312" t="s">
        <v>350</v>
      </c>
      <c r="P6" s="312" t="s">
        <v>351</v>
      </c>
      <c r="Q6" s="311" t="s">
        <v>352</v>
      </c>
      <c r="R6" s="313"/>
      <c r="S6" s="312"/>
    </row>
    <row r="7" spans="1:19" x14ac:dyDescent="0.2">
      <c r="B7" s="314"/>
      <c r="C7" s="314"/>
      <c r="D7" s="314"/>
      <c r="E7" s="315"/>
      <c r="F7" s="314"/>
      <c r="G7" s="314"/>
      <c r="H7" s="314"/>
      <c r="I7" s="315"/>
      <c r="J7" s="314"/>
      <c r="K7" s="314"/>
      <c r="L7" s="314"/>
      <c r="M7" s="315"/>
      <c r="N7" s="314"/>
      <c r="O7" s="314"/>
      <c r="P7" s="314"/>
      <c r="Q7" s="315"/>
      <c r="R7" s="60"/>
    </row>
    <row r="8" spans="1:19" x14ac:dyDescent="0.2">
      <c r="A8" t="s">
        <v>353</v>
      </c>
      <c r="B8" s="314">
        <v>669</v>
      </c>
      <c r="C8" s="314">
        <v>670</v>
      </c>
      <c r="D8" s="314">
        <v>667</v>
      </c>
      <c r="E8" s="315">
        <v>672</v>
      </c>
      <c r="F8" s="314">
        <v>672</v>
      </c>
      <c r="G8" s="314">
        <v>672</v>
      </c>
      <c r="H8" s="314">
        <v>674</v>
      </c>
      <c r="I8" s="315">
        <v>676</v>
      </c>
      <c r="J8" s="314">
        <v>677</v>
      </c>
      <c r="K8" s="314">
        <v>668</v>
      </c>
      <c r="L8" s="314">
        <v>658</v>
      </c>
      <c r="M8" s="315">
        <v>677</v>
      </c>
      <c r="N8" s="60">
        <v>658</v>
      </c>
      <c r="O8" s="60">
        <v>660</v>
      </c>
      <c r="P8" s="314">
        <v>672</v>
      </c>
      <c r="Q8" s="315">
        <v>661</v>
      </c>
      <c r="R8" s="60"/>
    </row>
    <row r="9" spans="1:19" x14ac:dyDescent="0.2">
      <c r="A9" s="10" t="s">
        <v>354</v>
      </c>
      <c r="B9" s="314">
        <v>127</v>
      </c>
      <c r="C9" s="314">
        <v>127</v>
      </c>
      <c r="D9" s="314">
        <v>124</v>
      </c>
      <c r="E9" s="315">
        <v>128</v>
      </c>
      <c r="F9" s="314">
        <v>130</v>
      </c>
      <c r="G9" s="314">
        <v>126</v>
      </c>
      <c r="H9" s="314">
        <v>130</v>
      </c>
      <c r="I9" s="315">
        <v>133</v>
      </c>
      <c r="J9" s="314">
        <v>129</v>
      </c>
      <c r="K9" s="60">
        <v>130</v>
      </c>
      <c r="L9" s="60">
        <v>132</v>
      </c>
      <c r="M9" s="315">
        <v>133</v>
      </c>
      <c r="N9" s="60">
        <v>133</v>
      </c>
      <c r="O9" s="60">
        <v>132</v>
      </c>
      <c r="P9" s="314">
        <v>134</v>
      </c>
      <c r="Q9" s="315">
        <v>134</v>
      </c>
      <c r="R9" s="60"/>
    </row>
    <row r="10" spans="1:19" x14ac:dyDescent="0.2">
      <c r="A10" s="10" t="s">
        <v>355</v>
      </c>
      <c r="B10" s="314">
        <v>11</v>
      </c>
      <c r="C10" s="314">
        <v>12</v>
      </c>
      <c r="D10" s="314">
        <v>13</v>
      </c>
      <c r="E10" s="315">
        <v>13</v>
      </c>
      <c r="F10" s="314">
        <v>17</v>
      </c>
      <c r="G10" s="314">
        <v>14</v>
      </c>
      <c r="H10" s="314">
        <v>14</v>
      </c>
      <c r="I10" s="315">
        <v>20</v>
      </c>
      <c r="J10" s="314">
        <v>13</v>
      </c>
      <c r="K10" s="60">
        <v>14</v>
      </c>
      <c r="L10" s="60">
        <v>16</v>
      </c>
      <c r="M10" s="315">
        <v>18</v>
      </c>
      <c r="N10" s="60">
        <v>18</v>
      </c>
      <c r="O10" s="60">
        <v>15</v>
      </c>
      <c r="P10" s="314">
        <v>14</v>
      </c>
      <c r="Q10" s="315">
        <v>19</v>
      </c>
      <c r="R10" s="60"/>
    </row>
    <row r="11" spans="1:19" x14ac:dyDescent="0.2">
      <c r="A11" s="10" t="s">
        <v>356</v>
      </c>
      <c r="B11" s="314">
        <v>65</v>
      </c>
      <c r="C11" s="314">
        <v>60</v>
      </c>
      <c r="D11" s="314">
        <v>72</v>
      </c>
      <c r="E11" s="315">
        <v>84</v>
      </c>
      <c r="F11" s="314">
        <v>75</v>
      </c>
      <c r="G11" s="314">
        <v>70</v>
      </c>
      <c r="H11" s="314">
        <v>71</v>
      </c>
      <c r="I11" s="315">
        <v>88</v>
      </c>
      <c r="J11" s="314">
        <v>69</v>
      </c>
      <c r="K11" s="60">
        <v>68</v>
      </c>
      <c r="L11" s="60">
        <v>73</v>
      </c>
      <c r="M11" s="315">
        <v>81</v>
      </c>
      <c r="N11" s="60">
        <v>69</v>
      </c>
      <c r="O11" s="60">
        <v>73</v>
      </c>
      <c r="P11" s="314">
        <v>71</v>
      </c>
      <c r="Q11" s="315">
        <v>85</v>
      </c>
      <c r="R11" s="60"/>
    </row>
    <row r="12" spans="1:19" x14ac:dyDescent="0.2">
      <c r="A12" s="10" t="s">
        <v>357</v>
      </c>
      <c r="B12" s="316">
        <v>159</v>
      </c>
      <c r="C12" s="316">
        <v>157</v>
      </c>
      <c r="D12" s="316">
        <v>158</v>
      </c>
      <c r="E12" s="317">
        <v>170</v>
      </c>
      <c r="F12" s="316">
        <v>155</v>
      </c>
      <c r="G12" s="316">
        <v>155</v>
      </c>
      <c r="H12" s="316">
        <v>158</v>
      </c>
      <c r="I12" s="317">
        <v>163</v>
      </c>
      <c r="J12" s="316">
        <v>197</v>
      </c>
      <c r="K12" s="318">
        <v>203</v>
      </c>
      <c r="L12" s="318">
        <v>205</v>
      </c>
      <c r="M12" s="317">
        <v>207</v>
      </c>
      <c r="N12" s="318">
        <v>202</v>
      </c>
      <c r="O12" s="318">
        <v>199</v>
      </c>
      <c r="P12" s="316">
        <v>195</v>
      </c>
      <c r="Q12" s="317">
        <v>209</v>
      </c>
      <c r="R12" s="318"/>
    </row>
    <row r="13" spans="1:19" x14ac:dyDescent="0.2">
      <c r="B13" s="319"/>
      <c r="C13" s="319"/>
      <c r="D13" s="319"/>
      <c r="E13" s="320"/>
      <c r="F13" s="319"/>
      <c r="G13" s="319"/>
      <c r="H13" s="319"/>
      <c r="I13" s="320"/>
      <c r="J13" s="319"/>
      <c r="K13" s="319"/>
      <c r="L13" s="319"/>
      <c r="M13" s="320"/>
      <c r="N13" s="321"/>
      <c r="O13" s="321"/>
      <c r="P13" s="319"/>
      <c r="Q13" s="320"/>
      <c r="R13" s="321"/>
    </row>
    <row r="14" spans="1:19" x14ac:dyDescent="0.2">
      <c r="A14" s="307" t="s">
        <v>1</v>
      </c>
      <c r="B14" s="322">
        <f>SUM(B8:B13)</f>
        <v>1031</v>
      </c>
      <c r="C14" s="322">
        <f>SUM(C8:C13)</f>
        <v>1026</v>
      </c>
      <c r="D14" s="322">
        <f>SUM(D8:D13)</f>
        <v>1034</v>
      </c>
      <c r="E14" s="323">
        <f>SUM(E8:E12)</f>
        <v>1067</v>
      </c>
      <c r="F14" s="322">
        <f>SUM(F8:F13)</f>
        <v>1049</v>
      </c>
      <c r="G14" s="322">
        <f>SUM(G8:G13)</f>
        <v>1037</v>
      </c>
      <c r="H14" s="322">
        <f>SUM(H8:H13)</f>
        <v>1047</v>
      </c>
      <c r="I14" s="323">
        <f>SUM(I8:I12)</f>
        <v>1080</v>
      </c>
      <c r="J14" s="322">
        <f>SUM(J8:J13)</f>
        <v>1085</v>
      </c>
      <c r="K14" s="322">
        <f>SUM(K8:K13)</f>
        <v>1083</v>
      </c>
      <c r="L14" s="322">
        <f>SUM(L8:L13)</f>
        <v>1084</v>
      </c>
      <c r="M14" s="323">
        <f>SUM(M8:M12)</f>
        <v>1116</v>
      </c>
      <c r="N14" s="322">
        <f>SUM(N8:N13)</f>
        <v>1080</v>
      </c>
      <c r="O14" s="322">
        <f>SUM(O8:O13)</f>
        <v>1079</v>
      </c>
      <c r="P14" s="324">
        <f>SUM(P8:P12)</f>
        <v>1086</v>
      </c>
      <c r="Q14" s="325">
        <f>SUM(Q8:Q12)</f>
        <v>1108</v>
      </c>
      <c r="R14" s="166"/>
    </row>
    <row r="15" spans="1:19" x14ac:dyDescent="0.2">
      <c r="F15" s="326"/>
      <c r="G15" s="326"/>
      <c r="H15" s="326"/>
      <c r="I15" s="326"/>
    </row>
    <row r="16" spans="1:19" x14ac:dyDescent="0.2">
      <c r="D16" s="327"/>
      <c r="E16" s="327"/>
      <c r="F16" s="327"/>
      <c r="G16" s="327"/>
    </row>
    <row r="17" spans="9:10" customFormat="1" x14ac:dyDescent="0.2"/>
    <row r="21" spans="9:10" customFormat="1" x14ac:dyDescent="0.2">
      <c r="I21">
        <f>E14</f>
        <v>1067</v>
      </c>
      <c r="J21" s="291" t="s">
        <v>358</v>
      </c>
    </row>
    <row r="22" spans="9:10" customFormat="1" x14ac:dyDescent="0.2">
      <c r="I22">
        <f>I14</f>
        <v>1080</v>
      </c>
      <c r="J22" s="291" t="s">
        <v>359</v>
      </c>
    </row>
    <row r="23" spans="9:10" customFormat="1" x14ac:dyDescent="0.2">
      <c r="I23">
        <f>M14</f>
        <v>1116</v>
      </c>
      <c r="J23" s="291" t="s">
        <v>360</v>
      </c>
    </row>
    <row r="24" spans="9:10" customFormat="1" x14ac:dyDescent="0.2">
      <c r="I24">
        <f>Q14</f>
        <v>1108</v>
      </c>
      <c r="J24" s="291" t="s">
        <v>361</v>
      </c>
    </row>
    <row r="25" spans="9:10" customFormat="1" x14ac:dyDescent="0.2">
      <c r="I25" s="328">
        <f>AVERAGE(I21:I24)</f>
        <v>1092.75</v>
      </c>
      <c r="J25" s="291" t="s">
        <v>362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C00000"/>
    <pageSetUpPr fitToPage="1"/>
  </sheetPr>
  <dimension ref="A1:BQ243"/>
  <sheetViews>
    <sheetView showGridLines="0" zoomScale="85" zoomScaleNormal="85" zoomScaleSheetLayoutView="100" workbookViewId="0">
      <pane xSplit="5" ySplit="9" topLeftCell="K10" activePane="bottomRight" state="frozen"/>
      <selection pane="topRight" activeCell="F1" sqref="F1"/>
      <selection pane="bottomLeft" activeCell="A10" sqref="A10"/>
      <selection pane="bottomRight" activeCell="Q21" sqref="Q21"/>
    </sheetView>
  </sheetViews>
  <sheetFormatPr defaultColWidth="9.140625" defaultRowHeight="12.75" x14ac:dyDescent="0.2"/>
  <cols>
    <col min="1" max="1" width="4" style="19" customWidth="1"/>
    <col min="2" max="2" width="0.85546875" style="5" customWidth="1"/>
    <col min="3" max="3" width="37.28515625" style="5" customWidth="1"/>
    <col min="4" max="4" width="5.7109375" style="5" customWidth="1"/>
    <col min="5" max="5" width="4" style="5" customWidth="1"/>
    <col min="6" max="6" width="1.42578125" style="5" customWidth="1"/>
    <col min="7" max="7" width="19.85546875" style="5" bestFit="1" customWidth="1"/>
    <col min="8" max="8" width="1.85546875" style="5" customWidth="1"/>
    <col min="9" max="9" width="17.42578125" style="8" customWidth="1"/>
    <col min="10" max="10" width="2.140625" style="5" customWidth="1"/>
    <col min="11" max="11" width="15.85546875" style="5" bestFit="1" customWidth="1"/>
    <col min="12" max="12" width="3" style="5" customWidth="1"/>
    <col min="13" max="13" width="15.42578125" style="5" bestFit="1" customWidth="1"/>
    <col min="14" max="14" width="2.5703125" style="45" customWidth="1"/>
    <col min="15" max="15" width="15.42578125" style="5" bestFit="1" customWidth="1"/>
    <col min="16" max="16" width="2.42578125" style="45" customWidth="1"/>
    <col min="17" max="17" width="16.85546875" style="5" bestFit="1" customWidth="1"/>
    <col min="18" max="18" width="3.140625" style="45" customWidth="1"/>
    <col min="19" max="19" width="15.42578125" style="5" bestFit="1" customWidth="1"/>
    <col min="20" max="20" width="0.85546875" style="45" customWidth="1"/>
    <col min="21" max="21" width="16.85546875" style="5" bestFit="1" customWidth="1"/>
    <col min="22" max="22" width="0.5703125" style="45" customWidth="1"/>
    <col min="23" max="23" width="16.85546875" style="5" bestFit="1" customWidth="1"/>
    <col min="24" max="24" width="4.7109375" style="45" customWidth="1"/>
    <col min="25" max="25" width="17" style="5" customWidth="1"/>
    <col min="26" max="26" width="2.140625" style="10" customWidth="1"/>
    <col min="27" max="27" width="14.28515625" style="10" bestFit="1" customWidth="1"/>
    <col min="28" max="28" width="2.5703125" style="10" customWidth="1"/>
    <col min="29" max="29" width="14.28515625" style="5" bestFit="1" customWidth="1"/>
    <col min="30" max="30" width="2.28515625" style="5" customWidth="1"/>
    <col min="31" max="31" width="11.5703125" style="5" bestFit="1" customWidth="1"/>
    <col min="32" max="32" width="2.42578125" style="5" customWidth="1"/>
    <col min="33" max="33" width="20.28515625" style="10" customWidth="1"/>
    <col min="34" max="34" width="2.42578125" style="10" customWidth="1"/>
    <col min="35" max="35" width="16.42578125" style="5" customWidth="1"/>
    <col min="36" max="36" width="2.7109375" style="5" customWidth="1"/>
    <col min="37" max="37" width="14.28515625" style="5" bestFit="1" customWidth="1"/>
    <col min="38" max="38" width="2.7109375" style="5" customWidth="1"/>
    <col min="39" max="39" width="11.5703125" style="402" bestFit="1" customWidth="1"/>
    <col min="40" max="40" width="1.85546875" style="5" customWidth="1"/>
    <col min="41" max="41" width="12.140625" style="5" customWidth="1"/>
    <col min="42" max="42" width="1.7109375" style="5" customWidth="1"/>
    <col min="43" max="43" width="12.140625" style="5" customWidth="1"/>
    <col min="44" max="44" width="1.5703125" style="5" customWidth="1"/>
    <col min="45" max="45" width="11.5703125" style="5" customWidth="1"/>
    <col min="46" max="46" width="1.85546875" style="5" customWidth="1"/>
    <col min="47" max="47" width="13.5703125" style="402" customWidth="1"/>
    <col min="48" max="48" width="2.140625" style="5" customWidth="1"/>
    <col min="49" max="49" width="11" style="5" customWidth="1"/>
    <col min="50" max="50" width="1.7109375" style="5" customWidth="1"/>
    <col min="51" max="51" width="11.7109375" style="5" customWidth="1"/>
    <col min="52" max="52" width="2.140625" style="5" customWidth="1"/>
    <col min="53" max="53" width="2.5703125" style="5" customWidth="1"/>
    <col min="54" max="54" width="10.85546875" style="5" customWidth="1"/>
    <col min="55" max="55" width="1.7109375" style="5" customWidth="1"/>
    <col min="56" max="56" width="11.5703125" style="402" customWidth="1"/>
    <col min="57" max="57" width="2.28515625" style="5" customWidth="1"/>
    <col min="58" max="58" width="12.7109375" style="5" customWidth="1"/>
    <col min="59" max="59" width="13.7109375" style="5" customWidth="1"/>
    <col min="60" max="16384" width="9.140625" style="5"/>
  </cols>
  <sheetData>
    <row r="1" spans="1:58" s="12" customFormat="1" x14ac:dyDescent="0.2">
      <c r="A1" s="11" t="s">
        <v>325</v>
      </c>
      <c r="B1" s="11"/>
      <c r="C1" s="11"/>
      <c r="D1" s="11"/>
      <c r="E1" s="11"/>
      <c r="F1" s="11"/>
      <c r="G1" s="11"/>
      <c r="H1" s="11"/>
      <c r="I1" s="270"/>
      <c r="J1" s="11"/>
      <c r="K1" s="11"/>
      <c r="L1" s="11"/>
      <c r="M1" s="11"/>
      <c r="N1" s="97"/>
      <c r="O1" s="11"/>
      <c r="P1" s="392"/>
      <c r="Q1" s="394" t="s">
        <v>427</v>
      </c>
      <c r="R1" s="392"/>
      <c r="T1" s="97"/>
      <c r="U1" s="11"/>
      <c r="V1" s="97"/>
      <c r="W1" s="11"/>
      <c r="X1" s="97"/>
      <c r="Y1" s="11"/>
      <c r="Z1" s="34"/>
      <c r="AA1" s="34"/>
      <c r="AB1" s="34"/>
      <c r="AC1" s="11"/>
      <c r="AD1" s="11"/>
      <c r="AE1" s="34"/>
      <c r="AF1" s="34"/>
      <c r="AG1" s="34"/>
      <c r="AH1" s="34"/>
      <c r="AI1" s="11"/>
      <c r="AJ1" s="11"/>
      <c r="AK1" s="11"/>
      <c r="AL1" s="11"/>
      <c r="AM1" s="398"/>
      <c r="AN1" s="34"/>
      <c r="AO1" s="34"/>
      <c r="AP1" s="97"/>
      <c r="AQ1" s="11"/>
      <c r="AR1" s="11"/>
      <c r="AS1" s="11"/>
      <c r="AT1" s="34"/>
      <c r="AU1" s="421"/>
      <c r="AV1" s="97"/>
      <c r="AW1" s="11"/>
      <c r="AX1" s="11"/>
      <c r="AY1" s="11"/>
      <c r="AZ1" s="34"/>
      <c r="BA1" s="97"/>
      <c r="BB1" s="11"/>
      <c r="BC1" s="11"/>
      <c r="BD1" s="398"/>
      <c r="BE1" s="34"/>
      <c r="BF1" s="34"/>
    </row>
    <row r="2" spans="1:58" s="12" customFormat="1" ht="15" x14ac:dyDescent="0.25">
      <c r="A2" s="11"/>
      <c r="B2" s="11"/>
      <c r="C2" s="11"/>
      <c r="D2" s="11"/>
      <c r="E2" s="11"/>
      <c r="F2" s="11"/>
      <c r="G2" s="11"/>
      <c r="H2" s="11"/>
      <c r="I2" s="38"/>
      <c r="J2" s="11"/>
      <c r="K2" s="11"/>
      <c r="L2" s="11"/>
      <c r="M2" s="11"/>
      <c r="N2" s="97"/>
      <c r="O2" s="11"/>
      <c r="P2" s="393"/>
      <c r="Q2" s="395" t="s">
        <v>428</v>
      </c>
      <c r="R2" s="393"/>
      <c r="T2" s="97"/>
      <c r="U2" s="11"/>
      <c r="V2" s="97"/>
      <c r="W2" s="11"/>
      <c r="X2" s="97"/>
      <c r="Y2" s="129"/>
      <c r="Z2" s="34"/>
      <c r="AA2" s="34"/>
      <c r="AB2" s="34"/>
      <c r="AC2" s="11"/>
      <c r="AD2" s="11"/>
      <c r="AE2" s="34"/>
      <c r="AF2" s="34"/>
      <c r="AG2" s="34"/>
      <c r="AH2" s="34"/>
      <c r="AI2" s="11"/>
      <c r="AJ2" s="11"/>
      <c r="AK2" s="11"/>
      <c r="AL2" s="11"/>
      <c r="AM2" s="398"/>
      <c r="AN2" s="34"/>
      <c r="AO2" s="34"/>
      <c r="AP2" s="97"/>
      <c r="AQ2" s="11"/>
      <c r="AR2" s="11"/>
      <c r="AS2" s="11"/>
      <c r="AT2" s="34"/>
      <c r="AU2" s="421"/>
      <c r="AV2" s="97"/>
      <c r="AW2" s="11"/>
      <c r="AX2" s="11"/>
      <c r="AY2" s="11"/>
      <c r="AZ2" s="34"/>
      <c r="BA2" s="97"/>
      <c r="BB2" s="11"/>
      <c r="BC2" s="11"/>
      <c r="BD2" s="398"/>
      <c r="BE2" s="34"/>
      <c r="BF2" s="34"/>
    </row>
    <row r="3" spans="1:58" s="12" customFormat="1" x14ac:dyDescent="0.2">
      <c r="A3" s="39" t="s">
        <v>0</v>
      </c>
      <c r="B3" s="11"/>
      <c r="C3" s="11"/>
      <c r="D3" s="11"/>
      <c r="E3" s="11"/>
      <c r="F3" s="11"/>
      <c r="G3" s="11"/>
      <c r="H3" s="11"/>
      <c r="I3" s="38"/>
      <c r="J3" s="11"/>
      <c r="K3" s="11"/>
      <c r="L3" s="11"/>
      <c r="M3" s="11"/>
      <c r="N3" s="97"/>
      <c r="O3" s="11"/>
      <c r="P3" s="97"/>
      <c r="Q3" s="11"/>
      <c r="R3" s="97"/>
      <c r="T3" s="97"/>
      <c r="U3" s="11"/>
      <c r="V3" s="97"/>
      <c r="W3" s="11"/>
      <c r="X3" s="97"/>
      <c r="Y3" s="130"/>
      <c r="Z3" s="34"/>
      <c r="AA3" s="34"/>
      <c r="AB3" s="34"/>
      <c r="AC3" s="11"/>
      <c r="AD3" s="11"/>
      <c r="AE3" s="34"/>
      <c r="AF3" s="34"/>
      <c r="AG3" s="34"/>
      <c r="AH3" s="34"/>
      <c r="AI3" s="11"/>
      <c r="AJ3" s="11"/>
      <c r="AK3" s="11"/>
      <c r="AL3" s="11"/>
      <c r="AM3" s="398"/>
      <c r="AN3" s="34"/>
      <c r="AO3" s="34"/>
      <c r="AP3" s="97"/>
      <c r="AQ3" s="11"/>
      <c r="AR3" s="11"/>
      <c r="AS3" s="11"/>
      <c r="AT3" s="34"/>
      <c r="AU3" s="421"/>
      <c r="AV3" s="97"/>
      <c r="AW3" s="11"/>
      <c r="AX3" s="11"/>
      <c r="AY3" s="11"/>
      <c r="AZ3" s="34"/>
      <c r="BA3" s="97"/>
      <c r="BB3" s="11"/>
      <c r="BC3" s="11"/>
      <c r="BD3" s="398"/>
      <c r="BE3" s="34"/>
      <c r="BF3" s="34"/>
    </row>
    <row r="4" spans="1:58" s="12" customFormat="1" x14ac:dyDescent="0.2">
      <c r="A4" s="39" t="s">
        <v>342</v>
      </c>
      <c r="B4" s="11"/>
      <c r="C4" s="11"/>
      <c r="D4" s="11"/>
      <c r="E4" s="11"/>
      <c r="F4" s="11"/>
      <c r="G4" s="11"/>
      <c r="H4" s="11"/>
      <c r="I4" s="38"/>
      <c r="J4" s="11"/>
      <c r="K4" s="11"/>
      <c r="L4" s="11"/>
      <c r="M4" s="11"/>
      <c r="N4" s="97"/>
      <c r="O4" s="11"/>
      <c r="P4" s="97"/>
      <c r="Q4" s="11"/>
      <c r="R4" s="97"/>
      <c r="T4" s="97"/>
      <c r="U4" s="11"/>
      <c r="V4" s="97"/>
      <c r="W4" s="11"/>
      <c r="X4" s="97"/>
      <c r="Y4" s="11"/>
      <c r="Z4" s="34"/>
      <c r="AA4" s="34"/>
      <c r="AB4" s="34"/>
      <c r="AC4" s="11"/>
      <c r="AD4" s="11"/>
      <c r="AE4" s="34"/>
      <c r="AF4" s="34"/>
      <c r="AG4" s="34"/>
      <c r="AH4" s="34"/>
      <c r="AI4" s="141"/>
      <c r="AJ4" s="141"/>
      <c r="AK4" s="11"/>
      <c r="AL4" s="11"/>
      <c r="AM4" s="398"/>
      <c r="AN4" s="34"/>
      <c r="AO4" s="34"/>
      <c r="AP4" s="97"/>
      <c r="AQ4" s="11"/>
      <c r="AR4" s="11"/>
      <c r="AS4" s="11"/>
      <c r="AT4" s="34"/>
      <c r="AU4" s="421"/>
      <c r="AV4" s="97"/>
      <c r="AW4" s="11"/>
      <c r="AX4" s="11"/>
      <c r="AY4" s="11"/>
      <c r="AZ4" s="34"/>
      <c r="BA4" s="97"/>
      <c r="BB4" s="11"/>
      <c r="BC4" s="11"/>
      <c r="BD4" s="398"/>
      <c r="BE4" s="34"/>
      <c r="BF4" s="34"/>
    </row>
    <row r="5" spans="1:58" s="12" customFormat="1" x14ac:dyDescent="0.2">
      <c r="A5" s="40"/>
      <c r="I5" s="41"/>
      <c r="N5" s="98"/>
      <c r="P5" s="98"/>
      <c r="R5" s="98"/>
      <c r="T5" s="98"/>
      <c r="V5" s="98"/>
      <c r="X5" s="98"/>
      <c r="AI5" s="112"/>
      <c r="AJ5" s="112"/>
      <c r="AM5" s="399"/>
      <c r="AP5" s="98"/>
      <c r="AU5" s="399"/>
      <c r="AV5" s="98"/>
      <c r="BA5" s="98"/>
      <c r="BD5" s="399"/>
    </row>
    <row r="6" spans="1:58" s="6" customFormat="1" x14ac:dyDescent="0.2">
      <c r="A6" s="40"/>
      <c r="I6" s="80">
        <v>30</v>
      </c>
      <c r="K6" s="6">
        <v>60</v>
      </c>
      <c r="M6" s="6">
        <v>20</v>
      </c>
      <c r="N6" s="20"/>
      <c r="O6" s="6">
        <v>20</v>
      </c>
      <c r="P6" s="20"/>
      <c r="Q6" s="6">
        <v>50</v>
      </c>
      <c r="R6" s="20"/>
      <c r="S6" s="6">
        <v>70</v>
      </c>
      <c r="T6" s="20"/>
      <c r="U6" s="6">
        <v>80</v>
      </c>
      <c r="V6" s="20"/>
      <c r="W6" s="6">
        <v>180</v>
      </c>
      <c r="X6" s="20"/>
      <c r="Y6" s="139">
        <v>212</v>
      </c>
      <c r="AA6" s="139">
        <v>232</v>
      </c>
      <c r="AC6" s="376">
        <v>234</v>
      </c>
      <c r="AE6" s="139">
        <v>303</v>
      </c>
      <c r="AG6" s="140" t="s">
        <v>102</v>
      </c>
      <c r="AI6" s="6">
        <v>221</v>
      </c>
      <c r="AK6" s="6">
        <v>231</v>
      </c>
      <c r="AM6" s="400">
        <v>233</v>
      </c>
      <c r="AO6" s="6">
        <v>236</v>
      </c>
      <c r="AP6" s="20"/>
      <c r="AQ6" s="6">
        <v>237</v>
      </c>
      <c r="AS6" s="6">
        <v>239</v>
      </c>
      <c r="AU6" s="422">
        <v>220</v>
      </c>
      <c r="AV6" s="20"/>
      <c r="AW6" s="6">
        <v>301</v>
      </c>
      <c r="AY6" s="6">
        <v>302</v>
      </c>
      <c r="BA6" s="20"/>
      <c r="BB6" s="6">
        <v>306</v>
      </c>
      <c r="BD6" s="400">
        <v>312</v>
      </c>
      <c r="BF6" s="6">
        <v>321</v>
      </c>
    </row>
    <row r="7" spans="1:58" s="6" customFormat="1" ht="15.75" x14ac:dyDescent="0.25">
      <c r="A7" s="40"/>
      <c r="C7" s="131" t="s">
        <v>79</v>
      </c>
      <c r="E7" s="145"/>
      <c r="F7" s="145"/>
      <c r="G7" s="145"/>
      <c r="H7" s="145"/>
      <c r="AG7" s="385" t="s">
        <v>380</v>
      </c>
      <c r="AM7" s="400"/>
      <c r="AP7" s="20"/>
      <c r="AU7" s="400"/>
      <c r="AV7" s="20"/>
      <c r="BA7" s="20"/>
      <c r="BD7" s="400"/>
    </row>
    <row r="8" spans="1:58" s="6" customFormat="1" ht="25.5" x14ac:dyDescent="0.2">
      <c r="A8" s="42" t="s">
        <v>8</v>
      </c>
      <c r="B8" s="43"/>
      <c r="C8" s="44"/>
      <c r="E8" s="20"/>
      <c r="G8" s="7" t="s">
        <v>1</v>
      </c>
      <c r="I8" s="81" t="s">
        <v>13</v>
      </c>
      <c r="K8" s="7" t="s">
        <v>10</v>
      </c>
      <c r="M8" s="7" t="s">
        <v>11</v>
      </c>
      <c r="N8" s="20"/>
      <c r="O8" s="7" t="s">
        <v>12</v>
      </c>
      <c r="P8" s="20"/>
      <c r="Q8" s="109" t="s">
        <v>82</v>
      </c>
      <c r="R8" s="20"/>
      <c r="S8" s="7" t="s">
        <v>81</v>
      </c>
      <c r="T8" s="20"/>
      <c r="U8" s="7" t="s">
        <v>14</v>
      </c>
      <c r="V8" s="20"/>
      <c r="W8" s="9" t="s">
        <v>83</v>
      </c>
      <c r="X8" s="20"/>
      <c r="Y8" s="7" t="s">
        <v>84</v>
      </c>
      <c r="AA8" s="9" t="s">
        <v>115</v>
      </c>
      <c r="AB8" s="9"/>
      <c r="AC8" s="9" t="s">
        <v>116</v>
      </c>
      <c r="AD8" s="9"/>
      <c r="AE8" s="9" t="s">
        <v>87</v>
      </c>
      <c r="AF8" s="134"/>
      <c r="AG8" s="6" t="s">
        <v>122</v>
      </c>
      <c r="AI8" s="9" t="s">
        <v>113</v>
      </c>
      <c r="AJ8" s="9"/>
      <c r="AK8" s="9" t="s">
        <v>114</v>
      </c>
      <c r="AL8" s="9"/>
      <c r="AM8" s="401" t="s">
        <v>85</v>
      </c>
      <c r="AO8" s="9" t="s">
        <v>86</v>
      </c>
      <c r="AP8" s="20"/>
      <c r="AQ8" s="9" t="s">
        <v>117</v>
      </c>
      <c r="AS8" s="9">
        <v>239</v>
      </c>
      <c r="AU8" s="401">
        <v>240</v>
      </c>
      <c r="AV8" s="20"/>
      <c r="AW8" s="9" t="s">
        <v>319</v>
      </c>
      <c r="AX8" s="9"/>
      <c r="AY8" s="9" t="s">
        <v>118</v>
      </c>
      <c r="BA8" s="20"/>
      <c r="BB8" s="9" t="s">
        <v>119</v>
      </c>
      <c r="BD8" s="401" t="s">
        <v>120</v>
      </c>
      <c r="BF8" s="9" t="s">
        <v>121</v>
      </c>
    </row>
    <row r="9" spans="1:58" x14ac:dyDescent="0.2">
      <c r="G9" s="45"/>
      <c r="H9" s="45"/>
      <c r="I9" s="46"/>
      <c r="AE9" s="10"/>
      <c r="AF9" s="10"/>
      <c r="AN9" s="10"/>
      <c r="AO9" s="10"/>
      <c r="AP9" s="45"/>
      <c r="AT9" s="10"/>
      <c r="AU9" s="423"/>
      <c r="AV9" s="45"/>
      <c r="AZ9" s="10"/>
      <c r="BA9" s="45"/>
      <c r="BE9" s="10"/>
      <c r="BF9" s="10"/>
    </row>
    <row r="10" spans="1:58" s="297" customFormat="1" x14ac:dyDescent="0.2">
      <c r="A10" s="296"/>
      <c r="C10" s="298" t="s">
        <v>2</v>
      </c>
      <c r="D10" s="299"/>
      <c r="E10" s="297" t="s">
        <v>3</v>
      </c>
      <c r="G10" s="304">
        <f>I10+K10+M10+O10+Q10+S10+U10+W10+Y10+AA10+AC10+AE10+AG10</f>
        <v>10440795066.74</v>
      </c>
      <c r="H10" s="300"/>
      <c r="I10" s="301">
        <v>712017562.00999999</v>
      </c>
      <c r="J10" s="302"/>
      <c r="K10" s="301">
        <v>580194446.90999997</v>
      </c>
      <c r="L10" s="302"/>
      <c r="M10" s="301">
        <v>246846679.05000001</v>
      </c>
      <c r="N10" s="300"/>
      <c r="O10" s="301">
        <v>615843381.10000002</v>
      </c>
      <c r="P10" s="300"/>
      <c r="Q10" s="390">
        <f>1105106578.41+3852534.72</f>
        <v>1108959113.1300001</v>
      </c>
      <c r="R10" s="300"/>
      <c r="S10" s="301">
        <v>573781841.95000005</v>
      </c>
      <c r="T10" s="300"/>
      <c r="U10" s="301">
        <v>3977519792.1199999</v>
      </c>
      <c r="V10" s="300"/>
      <c r="W10" s="396">
        <f>2427420398.75+137247121.91</f>
        <v>2564667520.6599998</v>
      </c>
      <c r="X10" s="300"/>
      <c r="Y10" s="390">
        <v>0</v>
      </c>
      <c r="Z10" s="302"/>
      <c r="AA10" s="301">
        <v>9495600.8200000003</v>
      </c>
      <c r="AB10" s="301"/>
      <c r="AC10" s="301">
        <v>8392478.7599999998</v>
      </c>
      <c r="AD10" s="301"/>
      <c r="AE10" s="301">
        <v>23341313.07</v>
      </c>
      <c r="AF10" s="300"/>
      <c r="AG10" s="302">
        <f>SUM(AI10:BF10)</f>
        <v>19735337.16</v>
      </c>
      <c r="AH10" s="302"/>
      <c r="AI10" s="301">
        <v>0</v>
      </c>
      <c r="AJ10" s="301"/>
      <c r="AK10" s="301"/>
      <c r="AL10" s="301"/>
      <c r="AM10" s="403">
        <v>14745579.439999999</v>
      </c>
      <c r="AN10" s="302"/>
      <c r="AO10" s="301">
        <v>0</v>
      </c>
      <c r="AP10" s="300"/>
      <c r="AQ10" s="301">
        <v>0</v>
      </c>
      <c r="AR10" s="303"/>
      <c r="AS10" s="301">
        <v>0</v>
      </c>
      <c r="AT10" s="302"/>
      <c r="AU10" s="424">
        <v>4937389.0599999996</v>
      </c>
      <c r="AV10" s="300"/>
      <c r="AW10" s="301">
        <v>52368.66</v>
      </c>
      <c r="AX10" s="301"/>
      <c r="AY10" s="301">
        <v>0</v>
      </c>
      <c r="AZ10" s="302"/>
      <c r="BA10" s="300"/>
      <c r="BB10" s="301">
        <v>0</v>
      </c>
      <c r="BC10" s="303"/>
      <c r="BD10" s="403">
        <v>0</v>
      </c>
      <c r="BE10" s="302"/>
      <c r="BF10" s="301">
        <v>0</v>
      </c>
    </row>
    <row r="11" spans="1:58" s="297" customFormat="1" x14ac:dyDescent="0.2">
      <c r="A11" s="296"/>
      <c r="C11" s="297" t="s">
        <v>4</v>
      </c>
      <c r="D11" s="299"/>
      <c r="E11" s="297" t="s">
        <v>5</v>
      </c>
      <c r="G11" s="304">
        <f t="shared" ref="G11:G12" si="0">I11+K11+M11+O11+Q11+S11+U11+W11+Y11+AA11+AC11+AE11+AG11</f>
        <v>3091348.083333333</v>
      </c>
      <c r="H11" s="300"/>
      <c r="I11" s="305">
        <f>'Sum customer count'!$D$2</f>
        <v>299655.58333333331</v>
      </c>
      <c r="J11" s="302"/>
      <c r="K11" s="301">
        <f>'Sum customer count'!$D$3</f>
        <v>249509.25</v>
      </c>
      <c r="L11" s="302"/>
      <c r="M11" s="301">
        <f>'Sum customer count'!$B$4</f>
        <v>74383.416666666672</v>
      </c>
      <c r="N11" s="300"/>
      <c r="O11" s="301">
        <f>'Sum customer count'!$C$4</f>
        <v>273973.91666666669</v>
      </c>
      <c r="P11" s="300"/>
      <c r="Q11" s="301">
        <f>'Sum customer count'!D5</f>
        <v>337869.5</v>
      </c>
      <c r="R11" s="300"/>
      <c r="S11" s="301">
        <f>'Sum customer count'!D6</f>
        <v>247834.75</v>
      </c>
      <c r="T11" s="300"/>
      <c r="U11" s="301">
        <f>'Sum customer count'!D7</f>
        <v>1607562.9166666667</v>
      </c>
      <c r="V11" s="300"/>
      <c r="W11" s="301">
        <f>'Sum customer count'!D8</f>
        <v>315.75</v>
      </c>
      <c r="X11" s="300"/>
      <c r="Y11" s="390">
        <v>0</v>
      </c>
      <c r="Z11" s="302"/>
      <c r="AA11" s="301"/>
      <c r="AB11" s="301"/>
      <c r="AC11" s="301"/>
      <c r="AD11" s="301"/>
      <c r="AE11" s="301">
        <v>13</v>
      </c>
      <c r="AF11" s="300"/>
      <c r="AG11" s="302">
        <f t="shared" ref="AG11:AG12" si="1">SUM(AI11:BF11)</f>
        <v>230</v>
      </c>
      <c r="AH11" s="302"/>
      <c r="AI11" s="301"/>
      <c r="AJ11" s="301"/>
      <c r="AK11" s="301"/>
      <c r="AL11" s="301"/>
      <c r="AM11" s="403"/>
      <c r="AN11" s="302"/>
      <c r="AO11" s="301"/>
      <c r="AP11" s="300"/>
      <c r="AQ11" s="301"/>
      <c r="AR11" s="303"/>
      <c r="AS11" s="301"/>
      <c r="AT11" s="302"/>
      <c r="AU11" s="424">
        <v>230</v>
      </c>
      <c r="AV11" s="300"/>
      <c r="AW11" s="301"/>
      <c r="AX11" s="301"/>
      <c r="AY11" s="301"/>
      <c r="AZ11" s="302"/>
      <c r="BA11" s="300"/>
      <c r="BB11" s="301"/>
      <c r="BC11" s="303"/>
      <c r="BD11" s="403"/>
      <c r="BE11" s="302"/>
      <c r="BF11" s="301"/>
    </row>
    <row r="12" spans="1:58" s="297" customFormat="1" x14ac:dyDescent="0.2">
      <c r="A12" s="296"/>
      <c r="C12" s="298" t="s">
        <v>15</v>
      </c>
      <c r="D12" s="299"/>
      <c r="E12" s="297" t="s">
        <v>3</v>
      </c>
      <c r="G12" s="304">
        <f t="shared" si="0"/>
        <v>393031369.81</v>
      </c>
      <c r="H12" s="300"/>
      <c r="I12" s="305">
        <v>31254669.100000001</v>
      </c>
      <c r="J12" s="302"/>
      <c r="K12" s="301">
        <v>26613522.739999998</v>
      </c>
      <c r="L12" s="302"/>
      <c r="M12" s="305">
        <v>8773969.5999999996</v>
      </c>
      <c r="N12" s="300"/>
      <c r="O12" s="305">
        <v>23385584.489999998</v>
      </c>
      <c r="P12" s="300"/>
      <c r="Q12" s="301">
        <v>37389660.939999998</v>
      </c>
      <c r="R12" s="300"/>
      <c r="S12" s="301">
        <v>31054400.039999999</v>
      </c>
      <c r="T12" s="300"/>
      <c r="U12" s="301">
        <v>118248978.97</v>
      </c>
      <c r="V12" s="300"/>
      <c r="W12" s="301">
        <v>114641215.02</v>
      </c>
      <c r="X12" s="300"/>
      <c r="Y12" s="391">
        <v>0</v>
      </c>
      <c r="Z12" s="302"/>
      <c r="AA12" s="301">
        <v>251500.05</v>
      </c>
      <c r="AB12" s="301"/>
      <c r="AC12" s="301">
        <v>392189.59</v>
      </c>
      <c r="AD12" s="301"/>
      <c r="AE12" s="301">
        <v>1275691.1000000001</v>
      </c>
      <c r="AF12" s="300"/>
      <c r="AG12" s="302">
        <f t="shared" si="1"/>
        <v>-250011.82999999996</v>
      </c>
      <c r="AH12" s="302"/>
      <c r="AI12" s="301">
        <v>3376.41</v>
      </c>
      <c r="AJ12" s="301"/>
      <c r="AK12" s="301">
        <v>14617.45</v>
      </c>
      <c r="AL12" s="301"/>
      <c r="AM12" s="403">
        <v>-73116</v>
      </c>
      <c r="AN12" s="302"/>
      <c r="AO12" s="301">
        <v>-1132481.1000000001</v>
      </c>
      <c r="AP12" s="300"/>
      <c r="AQ12" s="301">
        <v>462.2</v>
      </c>
      <c r="AR12" s="303"/>
      <c r="AS12" s="301">
        <v>0</v>
      </c>
      <c r="AT12" s="302"/>
      <c r="AU12" s="424">
        <v>196300.58</v>
      </c>
      <c r="AV12" s="300"/>
      <c r="AW12" s="301">
        <v>5934.91</v>
      </c>
      <c r="AX12" s="301"/>
      <c r="AY12" s="301">
        <v>2936.05</v>
      </c>
      <c r="AZ12" s="302"/>
      <c r="BA12" s="300"/>
      <c r="BB12" s="301">
        <v>4395.62</v>
      </c>
      <c r="BC12" s="303"/>
      <c r="BD12" s="403">
        <v>727562.05</v>
      </c>
      <c r="BE12" s="302"/>
      <c r="BF12" s="301">
        <v>0</v>
      </c>
    </row>
    <row r="13" spans="1:58" s="3" customFormat="1" x14ac:dyDescent="0.2">
      <c r="A13" s="19"/>
      <c r="C13" s="47" t="s">
        <v>16</v>
      </c>
      <c r="D13" s="10"/>
      <c r="G13" s="48"/>
      <c r="H13" s="8"/>
      <c r="I13" s="1"/>
      <c r="J13" s="4"/>
      <c r="K13" s="1"/>
      <c r="L13" s="4"/>
      <c r="M13" s="1"/>
      <c r="N13" s="1"/>
      <c r="O13" s="1"/>
      <c r="P13" s="1"/>
      <c r="Q13" s="1"/>
      <c r="R13" s="1"/>
      <c r="S13" s="1"/>
      <c r="T13" s="1"/>
      <c r="U13" s="1"/>
      <c r="V13" s="1"/>
      <c r="W13" s="18"/>
      <c r="X13" s="1"/>
      <c r="Y13" s="18"/>
      <c r="Z13" s="18"/>
      <c r="AA13" s="18"/>
      <c r="AB13" s="18"/>
      <c r="AC13" s="18"/>
      <c r="AD13" s="18"/>
      <c r="AE13" s="18"/>
      <c r="AF13" s="18"/>
      <c r="AG13" s="18"/>
      <c r="AH13" s="18"/>
      <c r="AI13" s="18"/>
      <c r="AJ13" s="18"/>
      <c r="AK13" s="18"/>
      <c r="AL13" s="18"/>
      <c r="AM13" s="404"/>
      <c r="AN13" s="18"/>
      <c r="AO13" s="18"/>
      <c r="AP13" s="18"/>
      <c r="AQ13" s="18"/>
      <c r="AR13" s="18"/>
      <c r="AS13" s="18"/>
      <c r="AT13" s="18"/>
      <c r="AU13" s="404"/>
      <c r="AV13" s="18"/>
      <c r="AW13" s="18"/>
      <c r="AX13" s="18"/>
      <c r="AY13" s="18"/>
      <c r="AZ13" s="18"/>
      <c r="BA13" s="18"/>
      <c r="BB13" s="18"/>
      <c r="BC13" s="18"/>
      <c r="BD13" s="404"/>
      <c r="BE13" s="18"/>
      <c r="BF13" s="18"/>
    </row>
    <row r="14" spans="1:58" x14ac:dyDescent="0.2">
      <c r="A14" s="49" t="s">
        <v>9</v>
      </c>
      <c r="B14" s="44"/>
      <c r="D14" s="10"/>
      <c r="G14" s="50"/>
      <c r="I14" s="107"/>
      <c r="K14" s="35"/>
      <c r="Q14" s="35"/>
      <c r="AE14" s="10"/>
      <c r="AF14" s="10"/>
      <c r="AI14" s="35"/>
      <c r="AJ14" s="35"/>
      <c r="AN14" s="10"/>
      <c r="AO14" s="10"/>
      <c r="AP14" s="45"/>
      <c r="AT14" s="10"/>
      <c r="AU14" s="423"/>
      <c r="AV14" s="45"/>
      <c r="AZ14" s="10"/>
      <c r="BA14" s="45"/>
      <c r="BE14" s="10"/>
      <c r="BF14" s="10"/>
    </row>
    <row r="15" spans="1:58" s="14" customFormat="1" x14ac:dyDescent="0.2">
      <c r="A15" s="19"/>
      <c r="C15" s="2" t="s">
        <v>2</v>
      </c>
      <c r="D15" s="10"/>
      <c r="E15" s="14" t="s">
        <v>6</v>
      </c>
      <c r="G15" s="84">
        <f>SUM(I15:AG15)</f>
        <v>1</v>
      </c>
      <c r="H15" s="85"/>
      <c r="I15" s="86">
        <f>1-SUM(K15:AG15)</f>
        <v>6.8199999999999927E-2</v>
      </c>
      <c r="J15" s="85"/>
      <c r="K15" s="84">
        <f>ROUND(K10/$G$10,4)</f>
        <v>5.5599999999999997E-2</v>
      </c>
      <c r="L15" s="85"/>
      <c r="M15" s="84">
        <f>ROUND(M10/$G10,4)</f>
        <v>2.3599999999999999E-2</v>
      </c>
      <c r="N15" s="88"/>
      <c r="O15" s="84">
        <f>ROUND(O10/$G10,4)</f>
        <v>5.8999999999999997E-2</v>
      </c>
      <c r="P15" s="88"/>
      <c r="Q15" s="84">
        <f>ROUND(Q10/$G10,4)</f>
        <v>0.1062</v>
      </c>
      <c r="R15" s="88"/>
      <c r="S15" s="84">
        <f>ROUND(S10/$G10,4)</f>
        <v>5.5E-2</v>
      </c>
      <c r="T15" s="88"/>
      <c r="U15" s="84">
        <f>ROUND(U10/$G10,4)</f>
        <v>0.38100000000000001</v>
      </c>
      <c r="V15" s="88"/>
      <c r="W15" s="84">
        <f>ROUND(W10/$G10,4)</f>
        <v>0.24560000000000001</v>
      </c>
      <c r="X15" s="88"/>
      <c r="Y15" s="84">
        <f>ROUND(Y10/$G10,4)</f>
        <v>0</v>
      </c>
      <c r="AA15" s="84">
        <f>ROUND(AA10/$G10,4)</f>
        <v>8.9999999999999998E-4</v>
      </c>
      <c r="AB15" s="84"/>
      <c r="AC15" s="84">
        <f>ROUND(AC10/$G10,4)</f>
        <v>8.0000000000000004E-4</v>
      </c>
      <c r="AD15" s="84"/>
      <c r="AE15" s="84">
        <f>ROUND(AE10/$G10,4)</f>
        <v>2.2000000000000001E-3</v>
      </c>
      <c r="AF15" s="88"/>
      <c r="AG15" s="84">
        <f>ROUND(AG10/$G10,4)</f>
        <v>1.9E-3</v>
      </c>
      <c r="AI15" s="84">
        <f>ROUND(AI10/$G10,4)</f>
        <v>0</v>
      </c>
      <c r="AJ15" s="84"/>
      <c r="AK15" s="84">
        <f>ROUND(AK10/$G10,4)</f>
        <v>0</v>
      </c>
      <c r="AL15" s="84"/>
      <c r="AM15" s="405">
        <f>ROUND(AM10/$G10,4)</f>
        <v>1.4E-3</v>
      </c>
      <c r="AO15" s="84">
        <f>ROUND(AO10/$G10,4)</f>
        <v>0</v>
      </c>
      <c r="AP15" s="88"/>
      <c r="AQ15" s="84">
        <f>ROUND(AQ10/$G10,4)</f>
        <v>0</v>
      </c>
      <c r="AR15" s="13"/>
      <c r="AS15" s="84">
        <f>ROUND(AS10/$G10,4)</f>
        <v>0</v>
      </c>
      <c r="AU15" s="405">
        <f>ROUND(AU10/$G10,4)</f>
        <v>5.0000000000000001E-4</v>
      </c>
      <c r="AV15" s="88"/>
      <c r="AW15" s="84">
        <f>ROUND(AW10/$G10,4)</f>
        <v>0</v>
      </c>
      <c r="AX15" s="84"/>
      <c r="AY15" s="84">
        <f>ROUND(AY10/$G10,4)</f>
        <v>0</v>
      </c>
      <c r="BA15" s="88"/>
      <c r="BB15" s="84">
        <f>ROUND(BB10/$G10,4)</f>
        <v>0</v>
      </c>
      <c r="BC15" s="13"/>
      <c r="BD15" s="405">
        <f>ROUND(BD10/$G10,4)</f>
        <v>0</v>
      </c>
      <c r="BF15" s="84">
        <f>ROUND(BF10/$G10,4)</f>
        <v>0</v>
      </c>
    </row>
    <row r="16" spans="1:58" s="14" customFormat="1" x14ac:dyDescent="0.2">
      <c r="A16" s="19"/>
      <c r="C16" s="3" t="s">
        <v>4</v>
      </c>
      <c r="D16" s="10"/>
      <c r="E16" s="14" t="s">
        <v>6</v>
      </c>
      <c r="G16" s="87">
        <f>SUM(I16:AG16)</f>
        <v>1</v>
      </c>
      <c r="H16" s="85"/>
      <c r="I16" s="86">
        <f>1-SUM(K16:AG16)</f>
        <v>9.6899999999999986E-2</v>
      </c>
      <c r="J16" s="85"/>
      <c r="K16" s="84">
        <f>ROUND(K11/$G$11,4)</f>
        <v>8.0699999999999994E-2</v>
      </c>
      <c r="L16" s="85"/>
      <c r="M16" s="84">
        <f>ROUND(M11/$G11,4)</f>
        <v>2.41E-2</v>
      </c>
      <c r="N16" s="88"/>
      <c r="O16" s="84">
        <f>ROUND(O11/$G11,4)</f>
        <v>8.8599999999999998E-2</v>
      </c>
      <c r="P16" s="88"/>
      <c r="Q16" s="84">
        <f>ROUND(Q11/$G11,4)</f>
        <v>0.10929999999999999</v>
      </c>
      <c r="R16" s="88"/>
      <c r="S16" s="84">
        <f>ROUND(S11/$G11,4)</f>
        <v>8.0199999999999994E-2</v>
      </c>
      <c r="T16" s="88"/>
      <c r="U16" s="84">
        <f>ROUND(U11/$G11,4)</f>
        <v>0.52</v>
      </c>
      <c r="V16" s="88"/>
      <c r="W16" s="84">
        <f>ROUND(W11/$G11,4)</f>
        <v>1E-4</v>
      </c>
      <c r="X16" s="88"/>
      <c r="Y16" s="84">
        <f>ROUND(Y11/$G11,4)</f>
        <v>0</v>
      </c>
      <c r="AA16" s="84">
        <f>ROUND(AA11/$G11,4)</f>
        <v>0</v>
      </c>
      <c r="AB16" s="84"/>
      <c r="AC16" s="84">
        <f t="shared" ref="AC16:AC17" si="2">ROUND(AC11/$G11,4)</f>
        <v>0</v>
      </c>
      <c r="AD16" s="84"/>
      <c r="AE16" s="84">
        <f>ROUND(AE11/$G11,4)</f>
        <v>0</v>
      </c>
      <c r="AF16" s="88"/>
      <c r="AG16" s="84">
        <f>ROUND(AG11/$G11,4)</f>
        <v>1E-4</v>
      </c>
      <c r="AI16" s="84">
        <f>ROUND(AI11/$G11,4)</f>
        <v>0</v>
      </c>
      <c r="AJ16" s="84"/>
      <c r="AK16" s="84">
        <f>ROUND(AK11/$G11,4)</f>
        <v>0</v>
      </c>
      <c r="AL16" s="84"/>
      <c r="AM16" s="405">
        <f>ROUND(AM11/$G11,4)</f>
        <v>0</v>
      </c>
      <c r="AO16" s="84">
        <f>ROUND(AO11/$G11,4)</f>
        <v>0</v>
      </c>
      <c r="AP16" s="88"/>
      <c r="AQ16" s="84">
        <f>ROUND(AQ11/$G11,4)</f>
        <v>0</v>
      </c>
      <c r="AR16" s="13"/>
      <c r="AS16" s="84">
        <f>ROUND(AS11/$G11,4)</f>
        <v>0</v>
      </c>
      <c r="AU16" s="405">
        <f>ROUND(AU11/$G11,4)</f>
        <v>1E-4</v>
      </c>
      <c r="AV16" s="88"/>
      <c r="AW16" s="84">
        <f>ROUND(AW11/$G11,4)</f>
        <v>0</v>
      </c>
      <c r="AX16" s="84"/>
      <c r="AY16" s="84">
        <f>ROUND(AY11/$G11,4)</f>
        <v>0</v>
      </c>
      <c r="BA16" s="88"/>
      <c r="BB16" s="84">
        <f>ROUND(BB11/$G11,4)</f>
        <v>0</v>
      </c>
      <c r="BC16" s="13"/>
      <c r="BD16" s="405">
        <f>ROUND(BD11/$G11,4)</f>
        <v>0</v>
      </c>
      <c r="BF16" s="84">
        <f>ROUND(BF11/$G11,4)</f>
        <v>0</v>
      </c>
    </row>
    <row r="17" spans="1:58" s="14" customFormat="1" x14ac:dyDescent="0.2">
      <c r="A17" s="19"/>
      <c r="C17" s="2" t="s">
        <v>7</v>
      </c>
      <c r="D17" s="10"/>
      <c r="E17" s="14" t="s">
        <v>6</v>
      </c>
      <c r="G17" s="87">
        <f>SUM(I17:AG17)</f>
        <v>1.0000000000000002</v>
      </c>
      <c r="H17" s="85"/>
      <c r="I17" s="86">
        <f>1-SUM(K17:AG17)</f>
        <v>7.9599999999999893E-2</v>
      </c>
      <c r="J17" s="85"/>
      <c r="K17" s="84">
        <f>ROUND(K12/$G12,4)</f>
        <v>6.7699999999999996E-2</v>
      </c>
      <c r="L17" s="85"/>
      <c r="M17" s="84">
        <f>ROUND(M12/$G12,4)</f>
        <v>2.23E-2</v>
      </c>
      <c r="N17" s="88"/>
      <c r="O17" s="84">
        <f>ROUND(O12/$G12,4)</f>
        <v>5.9499999999999997E-2</v>
      </c>
      <c r="P17" s="88"/>
      <c r="Q17" s="84">
        <f>ROUND(Q12/$G12,4)</f>
        <v>9.5100000000000004E-2</v>
      </c>
      <c r="R17" s="88"/>
      <c r="S17" s="84">
        <f>ROUND(S12/$G12,4)</f>
        <v>7.9000000000000001E-2</v>
      </c>
      <c r="T17" s="88"/>
      <c r="U17" s="84">
        <f>ROUND(U12/$G12,4)</f>
        <v>0.3009</v>
      </c>
      <c r="V17" s="88"/>
      <c r="W17" s="84">
        <f>ROUND(W12/$G12,4)</f>
        <v>0.29170000000000001</v>
      </c>
      <c r="X17" s="88"/>
      <c r="Y17" s="84">
        <f>ROUND(Y12/$G12,4)</f>
        <v>0</v>
      </c>
      <c r="AA17" s="84">
        <f>ROUND(AA12/$G12,4)</f>
        <v>5.9999999999999995E-4</v>
      </c>
      <c r="AB17" s="84"/>
      <c r="AC17" s="84">
        <f t="shared" si="2"/>
        <v>1E-3</v>
      </c>
      <c r="AD17" s="84"/>
      <c r="AE17" s="84">
        <f>ROUND(AE12/$G12,4)</f>
        <v>3.2000000000000002E-3</v>
      </c>
      <c r="AF17" s="88"/>
      <c r="AG17" s="84">
        <f>ROUND(AG12/$G12,4)</f>
        <v>-5.9999999999999995E-4</v>
      </c>
      <c r="AI17" s="84">
        <f>ROUND(AI12/$G12,4)</f>
        <v>0</v>
      </c>
      <c r="AJ17" s="84"/>
      <c r="AK17" s="84">
        <f>ROUND(AK12/$G12,4)</f>
        <v>0</v>
      </c>
      <c r="AL17" s="84"/>
      <c r="AM17" s="405">
        <f>ROUND(AM12/$G12,4)</f>
        <v>-2.0000000000000001E-4</v>
      </c>
      <c r="AO17" s="84">
        <f>ROUND(AO12/$G12,4)</f>
        <v>-2.8999999999999998E-3</v>
      </c>
      <c r="AP17" s="88"/>
      <c r="AQ17" s="84">
        <f>ROUND(AQ12/$G12,4)</f>
        <v>0</v>
      </c>
      <c r="AR17" s="13"/>
      <c r="AS17" s="84">
        <f>ROUND(AS12/$G12,4)</f>
        <v>0</v>
      </c>
      <c r="AU17" s="405">
        <f>ROUND(AU12/$G12,4)</f>
        <v>5.0000000000000001E-4</v>
      </c>
      <c r="AV17" s="88"/>
      <c r="AW17" s="84">
        <f>ROUND(AW12/$G12,4)</f>
        <v>0</v>
      </c>
      <c r="AX17" s="84"/>
      <c r="AY17" s="84">
        <f>ROUND(AY12/$G12,4)</f>
        <v>0</v>
      </c>
      <c r="BA17" s="88"/>
      <c r="BB17" s="84">
        <f>ROUND(BB12/$G12,4)</f>
        <v>0</v>
      </c>
      <c r="BC17" s="13"/>
      <c r="BD17" s="405">
        <f>ROUND(BD12/$G12,4)</f>
        <v>1.9E-3</v>
      </c>
      <c r="BF17" s="84">
        <f>ROUND(BF12/$G12,4)</f>
        <v>0</v>
      </c>
    </row>
    <row r="18" spans="1:58" s="14" customFormat="1" x14ac:dyDescent="0.2">
      <c r="A18" s="19"/>
      <c r="C18" s="51"/>
      <c r="D18" s="10"/>
      <c r="G18" s="88"/>
      <c r="H18" s="88"/>
      <c r="I18" s="89"/>
      <c r="J18" s="88"/>
      <c r="K18" s="88"/>
      <c r="L18" s="88"/>
      <c r="M18" s="88"/>
      <c r="N18" s="88"/>
      <c r="O18" s="88"/>
      <c r="P18" s="88"/>
      <c r="Q18" s="88"/>
      <c r="R18" s="88"/>
      <c r="S18" s="88"/>
      <c r="T18" s="88"/>
      <c r="U18" s="88"/>
      <c r="V18" s="88"/>
      <c r="W18" s="88"/>
      <c r="X18" s="88"/>
      <c r="Y18" s="88"/>
      <c r="Z18" s="16"/>
      <c r="AA18" s="88"/>
      <c r="AB18" s="88"/>
      <c r="AC18" s="88"/>
      <c r="AD18" s="88"/>
      <c r="AE18" s="88"/>
      <c r="AF18" s="88"/>
      <c r="AG18" s="88"/>
      <c r="AH18" s="16"/>
      <c r="AI18" s="88"/>
      <c r="AJ18" s="88"/>
      <c r="AK18" s="88"/>
      <c r="AL18" s="88"/>
      <c r="AM18" s="406"/>
      <c r="AN18" s="16"/>
      <c r="AO18" s="88"/>
      <c r="AP18" s="88"/>
      <c r="AQ18" s="88"/>
      <c r="AR18" s="15"/>
      <c r="AS18" s="88"/>
      <c r="AT18" s="16"/>
      <c r="AU18" s="406"/>
      <c r="AV18" s="88"/>
      <c r="AW18" s="88"/>
      <c r="AX18" s="88"/>
      <c r="AY18" s="88"/>
      <c r="AZ18" s="16"/>
      <c r="BA18" s="88"/>
      <c r="BB18" s="88"/>
      <c r="BC18" s="15"/>
      <c r="BD18" s="406"/>
      <c r="BE18" s="16"/>
      <c r="BF18" s="88"/>
    </row>
    <row r="19" spans="1:58" s="379" customFormat="1" x14ac:dyDescent="0.2">
      <c r="A19" s="378"/>
      <c r="C19" s="380" t="s">
        <v>364</v>
      </c>
      <c r="D19" s="239"/>
      <c r="E19" s="379" t="s">
        <v>6</v>
      </c>
      <c r="G19" s="247">
        <f>SUM(I19:AG19)</f>
        <v>1</v>
      </c>
      <c r="H19" s="249"/>
      <c r="I19" s="233">
        <f>1-SUM(K19:AG19)</f>
        <v>8.1699999999999995E-2</v>
      </c>
      <c r="J19" s="234"/>
      <c r="K19" s="233">
        <f>ROUND(AVERAGE(K15:K17),4)</f>
        <v>6.8000000000000005E-2</v>
      </c>
      <c r="L19" s="234"/>
      <c r="M19" s="233">
        <f>ROUND(AVERAGE(M15:M17),4)</f>
        <v>2.3300000000000001E-2</v>
      </c>
      <c r="N19" s="235"/>
      <c r="O19" s="233">
        <f>ROUND(AVERAGE(O15:O17),4)</f>
        <v>6.9000000000000006E-2</v>
      </c>
      <c r="P19" s="235"/>
      <c r="Q19" s="233">
        <f>ROUND(AVERAGE(Q15:Q17),4)</f>
        <v>0.10349999999999999</v>
      </c>
      <c r="R19" s="235"/>
      <c r="S19" s="233">
        <f>ROUND(AVERAGE(S15:S17),4)</f>
        <v>7.1400000000000005E-2</v>
      </c>
      <c r="T19" s="235"/>
      <c r="U19" s="233">
        <f>ROUND(AVERAGE(U15:U17),4)</f>
        <v>0.40060000000000001</v>
      </c>
      <c r="V19" s="236"/>
      <c r="W19" s="233">
        <f>ROUND(AVERAGE(W15:W17),4)</f>
        <v>0.17910000000000001</v>
      </c>
      <c r="X19" s="381"/>
      <c r="Y19" s="233">
        <f>ROUND(AVERAGE(Y15:Y17),4)</f>
        <v>0</v>
      </c>
      <c r="Z19" s="381"/>
      <c r="AA19" s="233">
        <f>ROUND(AVERAGE(AA15:AA17),4)</f>
        <v>5.0000000000000001E-4</v>
      </c>
      <c r="AB19" s="233"/>
      <c r="AC19" s="233">
        <f t="shared" ref="AC19" si="3">ROUND(AVERAGE(AC15:AC17),4)</f>
        <v>5.9999999999999995E-4</v>
      </c>
      <c r="AD19" s="233"/>
      <c r="AE19" s="233">
        <f>ROUND(AVERAGE(AE15:AE17),4)</f>
        <v>1.8E-3</v>
      </c>
      <c r="AF19" s="233"/>
      <c r="AG19" s="233">
        <f>ROUND(AVERAGE(AG15:AG17),4)</f>
        <v>5.0000000000000001E-4</v>
      </c>
      <c r="AH19" s="381"/>
      <c r="AI19" s="233">
        <f>ROUND(AVERAGE(AI15:AI17),4)</f>
        <v>0</v>
      </c>
      <c r="AJ19" s="233"/>
      <c r="AK19" s="233">
        <f>ROUND(AVERAGE(AK15:AK17),4)</f>
        <v>0</v>
      </c>
      <c r="AL19" s="233"/>
      <c r="AM19" s="407">
        <f>ROUND(AVERAGE(AM15:AM17),4)</f>
        <v>4.0000000000000002E-4</v>
      </c>
      <c r="AN19" s="381"/>
      <c r="AO19" s="233">
        <f>ROUND(AVERAGE(AO15:AO17),4)</f>
        <v>-1E-3</v>
      </c>
      <c r="AP19" s="381"/>
      <c r="AQ19" s="233">
        <f>ROUND(AVERAGE(AQ15:AQ17),4)</f>
        <v>0</v>
      </c>
      <c r="AR19" s="382"/>
      <c r="AS19" s="233">
        <f>ROUND(AVERAGE(AS15:AS17),4)</f>
        <v>0</v>
      </c>
      <c r="AT19" s="381"/>
      <c r="AU19" s="407">
        <f>ROUND(AVERAGE(AU15:AU17),4)</f>
        <v>4.0000000000000002E-4</v>
      </c>
      <c r="AV19" s="381"/>
      <c r="AW19" s="233">
        <f>ROUND(AVERAGE(AW15:AW17),4)</f>
        <v>0</v>
      </c>
      <c r="AX19" s="233"/>
      <c r="AY19" s="233">
        <f>ROUND(AVERAGE(AY15:AY17),4)</f>
        <v>0</v>
      </c>
      <c r="AZ19" s="381"/>
      <c r="BA19" s="381"/>
      <c r="BB19" s="233">
        <f>ROUND(AVERAGE(BB15:BB17),4)</f>
        <v>0</v>
      </c>
      <c r="BC19" s="382"/>
      <c r="BD19" s="407">
        <f>ROUND(AVERAGE(BD15:BD17),4)</f>
        <v>5.9999999999999995E-4</v>
      </c>
      <c r="BE19" s="381"/>
      <c r="BF19" s="233">
        <f>ROUND(AVERAGE(BF15:BF17),4)</f>
        <v>0</v>
      </c>
    </row>
    <row r="20" spans="1:58" s="14" customFormat="1" x14ac:dyDescent="0.2">
      <c r="A20" s="19"/>
      <c r="C20" s="51"/>
      <c r="D20" s="10"/>
      <c r="G20" s="88"/>
      <c r="H20" s="85"/>
      <c r="I20" s="89"/>
      <c r="J20" s="85"/>
      <c r="K20" s="88"/>
      <c r="L20" s="88"/>
      <c r="M20" s="88"/>
      <c r="N20" s="88"/>
      <c r="O20" s="88"/>
      <c r="P20" s="88"/>
      <c r="Q20" s="88"/>
      <c r="R20" s="88"/>
      <c r="S20" s="88"/>
      <c r="T20" s="88"/>
      <c r="U20" s="88"/>
      <c r="V20" s="88"/>
      <c r="W20" s="88"/>
      <c r="X20" s="88"/>
      <c r="Y20" s="374">
        <v>1</v>
      </c>
      <c r="Z20" s="374"/>
      <c r="AA20" s="374">
        <v>4</v>
      </c>
      <c r="AB20" s="374"/>
      <c r="AC20" s="374">
        <v>3</v>
      </c>
      <c r="AD20" s="374"/>
      <c r="AE20" s="375">
        <v>2</v>
      </c>
      <c r="AF20" s="375"/>
      <c r="AG20" s="374">
        <v>5</v>
      </c>
      <c r="AH20" s="374"/>
      <c r="AI20" s="374"/>
      <c r="AJ20" s="374"/>
      <c r="AK20" s="374"/>
      <c r="AL20" s="374"/>
      <c r="AM20" s="408">
        <v>5</v>
      </c>
      <c r="AN20" s="375"/>
      <c r="AO20" s="375"/>
      <c r="AP20" s="375"/>
      <c r="AQ20" s="375"/>
      <c r="AR20" s="375"/>
      <c r="AS20" s="375"/>
      <c r="AT20" s="375"/>
      <c r="AU20" s="425"/>
      <c r="AV20" s="375"/>
      <c r="AW20" s="375"/>
      <c r="AX20" s="375"/>
      <c r="AY20" s="375"/>
      <c r="AZ20" s="375"/>
      <c r="BA20" s="375"/>
      <c r="BB20" s="375"/>
      <c r="BC20" s="375"/>
      <c r="BD20" s="425"/>
      <c r="BE20" s="375"/>
      <c r="BF20" s="375"/>
    </row>
    <row r="21" spans="1:58" s="14" customFormat="1" x14ac:dyDescent="0.2">
      <c r="A21" s="19"/>
      <c r="C21" s="51"/>
      <c r="D21" s="10"/>
      <c r="G21" s="88"/>
      <c r="H21" s="85"/>
      <c r="I21" s="89"/>
      <c r="J21" s="85"/>
      <c r="K21" s="88"/>
      <c r="L21" s="88"/>
      <c r="M21" s="88"/>
      <c r="N21" s="88"/>
      <c r="O21" s="88"/>
      <c r="P21" s="88"/>
      <c r="Q21" s="88"/>
      <c r="R21" s="88"/>
      <c r="S21" s="88"/>
      <c r="T21" s="88"/>
      <c r="U21" s="88"/>
      <c r="V21" s="88"/>
      <c r="W21" s="88"/>
      <c r="X21" s="88"/>
      <c r="Y21" s="374"/>
      <c r="Z21" s="374"/>
      <c r="AA21" s="374"/>
      <c r="AB21" s="374"/>
      <c r="AC21" s="374"/>
      <c r="AD21" s="374"/>
      <c r="AE21" s="375"/>
      <c r="AF21" s="375"/>
      <c r="AG21" s="374"/>
      <c r="AH21" s="374"/>
      <c r="AI21" s="374"/>
      <c r="AJ21" s="374"/>
      <c r="AK21" s="374"/>
      <c r="AL21" s="374"/>
      <c r="AM21" s="408"/>
      <c r="AN21" s="375"/>
      <c r="AO21" s="375"/>
      <c r="AP21" s="375"/>
      <c r="AQ21" s="375"/>
      <c r="AR21" s="375"/>
      <c r="AS21" s="375"/>
      <c r="AT21" s="375"/>
      <c r="AU21" s="425"/>
      <c r="AV21" s="375"/>
      <c r="AW21" s="375"/>
      <c r="AX21" s="375"/>
      <c r="AY21" s="375"/>
      <c r="AZ21" s="375"/>
      <c r="BA21" s="375"/>
      <c r="BB21" s="375"/>
      <c r="BC21" s="375"/>
      <c r="BD21" s="425"/>
      <c r="BE21" s="375"/>
      <c r="BF21" s="375"/>
    </row>
    <row r="22" spans="1:58" s="14" customFormat="1" x14ac:dyDescent="0.2">
      <c r="A22" s="19"/>
      <c r="C22" s="51"/>
      <c r="D22" s="10"/>
      <c r="G22" s="88"/>
      <c r="H22" s="85"/>
      <c r="I22" s="89"/>
      <c r="J22" s="85"/>
      <c r="K22" s="88"/>
      <c r="L22" s="88"/>
      <c r="M22" s="88"/>
      <c r="N22" s="88"/>
      <c r="O22" s="88"/>
      <c r="P22" s="88"/>
      <c r="Q22" s="88"/>
      <c r="R22" s="88"/>
      <c r="S22" s="88"/>
      <c r="T22" s="88"/>
      <c r="U22" s="88"/>
      <c r="V22" s="88"/>
      <c r="W22" s="88"/>
      <c r="X22" s="88"/>
      <c r="Y22" s="374"/>
      <c r="Z22" s="374"/>
      <c r="AA22" s="374"/>
      <c r="AB22" s="374"/>
      <c r="AC22" s="374"/>
      <c r="AD22" s="374"/>
      <c r="AE22" s="375"/>
      <c r="AF22" s="375"/>
      <c r="AG22" s="374"/>
      <c r="AH22" s="374"/>
      <c r="AI22" s="374"/>
      <c r="AJ22" s="374"/>
      <c r="AK22" s="374"/>
      <c r="AL22" s="374"/>
      <c r="AM22" s="408"/>
      <c r="AN22" s="375"/>
      <c r="AO22" s="375"/>
      <c r="AP22" s="375"/>
      <c r="AQ22" s="375"/>
      <c r="AR22" s="375"/>
      <c r="AS22" s="375"/>
      <c r="AT22" s="375"/>
      <c r="AU22" s="425"/>
      <c r="AV22" s="375"/>
      <c r="AW22" s="375"/>
      <c r="AX22" s="375"/>
      <c r="AY22" s="375"/>
      <c r="AZ22" s="375"/>
      <c r="BA22" s="375"/>
      <c r="BB22" s="375"/>
      <c r="BC22" s="375"/>
      <c r="BD22" s="425"/>
      <c r="BE22" s="375"/>
      <c r="BF22" s="375"/>
    </row>
    <row r="23" spans="1:58" s="14" customFormat="1" x14ac:dyDescent="0.2">
      <c r="A23" s="19"/>
      <c r="C23" s="51"/>
      <c r="D23" s="10"/>
      <c r="G23" s="88"/>
      <c r="H23" s="85"/>
      <c r="I23" s="89"/>
      <c r="J23" s="85"/>
      <c r="K23" s="88"/>
      <c r="L23" s="88"/>
      <c r="M23" s="88"/>
      <c r="N23" s="88"/>
      <c r="O23" s="88"/>
      <c r="P23" s="88"/>
      <c r="Q23" s="88"/>
      <c r="R23" s="88"/>
      <c r="S23" s="88"/>
      <c r="T23" s="88"/>
      <c r="U23" s="88"/>
      <c r="V23" s="88"/>
      <c r="W23" s="88"/>
      <c r="X23" s="88"/>
      <c r="Y23" s="374"/>
      <c r="Z23" s="374"/>
      <c r="AA23" s="374"/>
      <c r="AB23" s="374"/>
      <c r="AC23" s="374"/>
      <c r="AD23" s="374"/>
      <c r="AE23" s="375"/>
      <c r="AF23" s="375"/>
      <c r="AG23" s="374"/>
      <c r="AH23" s="374"/>
      <c r="AI23" s="374"/>
      <c r="AJ23" s="374"/>
      <c r="AK23" s="374"/>
      <c r="AL23" s="374"/>
      <c r="AM23" s="408"/>
      <c r="AN23" s="375"/>
      <c r="AO23" s="375"/>
      <c r="AP23" s="375"/>
      <c r="AQ23" s="375"/>
      <c r="AR23" s="375"/>
      <c r="AS23" s="375"/>
      <c r="AT23" s="375"/>
      <c r="AU23" s="425"/>
      <c r="AV23" s="375"/>
      <c r="AW23" s="375"/>
      <c r="AX23" s="375"/>
      <c r="AY23" s="375"/>
      <c r="AZ23" s="375"/>
      <c r="BA23" s="375"/>
      <c r="BB23" s="375"/>
      <c r="BC23" s="375"/>
      <c r="BD23" s="425"/>
      <c r="BE23" s="375"/>
      <c r="BF23" s="375"/>
    </row>
    <row r="24" spans="1:58" s="14" customFormat="1" x14ac:dyDescent="0.2">
      <c r="A24" s="19"/>
      <c r="C24" s="51"/>
      <c r="D24" s="10"/>
      <c r="G24" s="88"/>
      <c r="H24" s="85"/>
      <c r="I24" s="89"/>
      <c r="J24" s="85"/>
      <c r="K24" s="88"/>
      <c r="L24" s="88"/>
      <c r="M24" s="88"/>
      <c r="N24" s="88"/>
      <c r="O24" s="88"/>
      <c r="P24" s="88"/>
      <c r="Q24" s="88"/>
      <c r="R24" s="88"/>
      <c r="S24" s="88"/>
      <c r="T24" s="88"/>
      <c r="U24" s="88"/>
      <c r="V24" s="88"/>
      <c r="W24" s="88"/>
      <c r="X24" s="88"/>
      <c r="Y24" s="374"/>
      <c r="Z24" s="374"/>
      <c r="AA24" s="374"/>
      <c r="AB24" s="374"/>
      <c r="AC24" s="374"/>
      <c r="AD24" s="374"/>
      <c r="AE24" s="375"/>
      <c r="AF24" s="375"/>
      <c r="AG24" s="374"/>
      <c r="AH24" s="374"/>
      <c r="AI24" s="374"/>
      <c r="AJ24" s="374"/>
      <c r="AK24" s="374"/>
      <c r="AL24" s="374"/>
      <c r="AM24" s="408"/>
      <c r="AN24" s="375"/>
      <c r="AO24" s="375"/>
      <c r="AP24" s="375"/>
      <c r="AQ24" s="375"/>
      <c r="AR24" s="375"/>
      <c r="AS24" s="375"/>
      <c r="AT24" s="375"/>
      <c r="AU24" s="425"/>
      <c r="AV24" s="375"/>
      <c r="AW24" s="375"/>
      <c r="AX24" s="375"/>
      <c r="AY24" s="375"/>
      <c r="AZ24" s="375"/>
      <c r="BA24" s="375"/>
      <c r="BB24" s="375"/>
      <c r="BC24" s="375"/>
      <c r="BD24" s="425"/>
      <c r="BE24" s="375"/>
      <c r="BF24" s="375"/>
    </row>
    <row r="25" spans="1:58" s="14" customFormat="1" x14ac:dyDescent="0.2">
      <c r="A25" s="19"/>
      <c r="C25" s="51"/>
      <c r="D25" s="10"/>
      <c r="G25" s="88"/>
      <c r="H25" s="85"/>
      <c r="I25" s="89"/>
      <c r="J25" s="85"/>
      <c r="K25" s="88"/>
      <c r="L25" s="88"/>
      <c r="M25" s="88"/>
      <c r="N25" s="88"/>
      <c r="O25" s="88"/>
      <c r="P25" s="88"/>
      <c r="Q25" s="88"/>
      <c r="R25" s="88"/>
      <c r="S25" s="88"/>
      <c r="T25" s="88"/>
      <c r="U25" s="88"/>
      <c r="V25" s="88"/>
      <c r="W25" s="88"/>
      <c r="X25" s="88"/>
      <c r="Y25" s="374"/>
      <c r="Z25" s="374"/>
      <c r="AA25" s="374"/>
      <c r="AB25" s="374"/>
      <c r="AC25" s="374"/>
      <c r="AD25" s="374"/>
      <c r="AE25" s="375"/>
      <c r="AF25" s="375"/>
      <c r="AG25" s="374"/>
      <c r="AH25" s="374"/>
      <c r="AI25" s="374"/>
      <c r="AJ25" s="374"/>
      <c r="AK25" s="374"/>
      <c r="AL25" s="374"/>
      <c r="AM25" s="408"/>
      <c r="AN25" s="375"/>
      <c r="AO25" s="375"/>
      <c r="AP25" s="375"/>
      <c r="AQ25" s="375"/>
      <c r="AR25" s="375"/>
      <c r="AS25" s="375"/>
      <c r="AT25" s="375"/>
      <c r="AU25" s="425"/>
      <c r="AV25" s="375"/>
      <c r="AW25" s="375"/>
      <c r="AX25" s="375"/>
      <c r="AY25" s="375"/>
      <c r="AZ25" s="375"/>
      <c r="BA25" s="375"/>
      <c r="BB25" s="375"/>
      <c r="BC25" s="375"/>
      <c r="BD25" s="425"/>
      <c r="BE25" s="375"/>
      <c r="BF25" s="375"/>
    </row>
    <row r="26" spans="1:58" s="364" customFormat="1" ht="15.75" x14ac:dyDescent="0.25">
      <c r="A26" s="363"/>
      <c r="C26" s="365"/>
      <c r="D26" s="366"/>
      <c r="G26" s="367"/>
      <c r="H26" s="367"/>
      <c r="I26" s="245" t="s">
        <v>407</v>
      </c>
      <c r="J26" s="368"/>
      <c r="K26" s="368" t="s">
        <v>402</v>
      </c>
      <c r="L26" s="368"/>
      <c r="M26" s="368" t="s">
        <v>403</v>
      </c>
      <c r="N26" s="368"/>
      <c r="O26" s="368" t="s">
        <v>403</v>
      </c>
      <c r="P26" s="368"/>
      <c r="Q26" s="368" t="s">
        <v>404</v>
      </c>
      <c r="R26" s="368"/>
      <c r="S26" s="368" t="s">
        <v>405</v>
      </c>
      <c r="T26" s="368"/>
      <c r="U26" s="368" t="s">
        <v>406</v>
      </c>
      <c r="V26" s="368"/>
      <c r="W26" s="368" t="s">
        <v>408</v>
      </c>
      <c r="X26" s="368"/>
      <c r="Y26" s="368" t="s">
        <v>409</v>
      </c>
      <c r="Z26" s="368"/>
      <c r="AA26" s="368" t="s">
        <v>412</v>
      </c>
      <c r="AB26" s="368"/>
      <c r="AC26" s="368" t="s">
        <v>411</v>
      </c>
      <c r="AD26" s="368"/>
      <c r="AE26" s="368" t="s">
        <v>410</v>
      </c>
      <c r="AF26" s="368"/>
      <c r="AG26" s="368" t="s">
        <v>413</v>
      </c>
      <c r="AH26" s="368"/>
      <c r="AI26" s="383"/>
      <c r="AJ26" s="383"/>
      <c r="AK26" s="383"/>
      <c r="AL26" s="383"/>
      <c r="AM26" s="409"/>
      <c r="AN26" s="384"/>
      <c r="AO26" s="384"/>
      <c r="AP26" s="384"/>
      <c r="AQ26" s="384"/>
      <c r="AR26" s="384"/>
      <c r="AS26" s="384"/>
      <c r="AT26" s="384"/>
      <c r="AU26" s="426"/>
      <c r="AV26" s="384"/>
      <c r="AW26" s="384"/>
      <c r="AX26" s="384"/>
      <c r="AY26" s="384"/>
      <c r="AZ26" s="384"/>
      <c r="BA26" s="384"/>
      <c r="BB26" s="384"/>
      <c r="BC26" s="384"/>
      <c r="BD26" s="426"/>
      <c r="BE26" s="384"/>
      <c r="BF26" s="384"/>
    </row>
    <row r="27" spans="1:58" s="364" customFormat="1" ht="15.75" x14ac:dyDescent="0.25">
      <c r="A27" s="363"/>
      <c r="C27" s="365"/>
      <c r="D27" s="366"/>
      <c r="G27" s="367"/>
      <c r="H27" s="367"/>
      <c r="I27" s="242" t="s">
        <v>127</v>
      </c>
      <c r="J27" s="232"/>
      <c r="K27" s="232" t="s">
        <v>128</v>
      </c>
      <c r="L27" s="232"/>
      <c r="M27" s="232" t="s">
        <v>129</v>
      </c>
      <c r="N27" s="231"/>
      <c r="O27" s="232" t="s">
        <v>129</v>
      </c>
      <c r="P27" s="231"/>
      <c r="Q27" s="232" t="s">
        <v>130</v>
      </c>
      <c r="R27" s="231"/>
      <c r="S27" s="232" t="s">
        <v>131</v>
      </c>
      <c r="T27" s="231"/>
      <c r="U27" s="232" t="s">
        <v>132</v>
      </c>
      <c r="V27" s="231"/>
      <c r="W27" s="232" t="s">
        <v>133</v>
      </c>
      <c r="X27" s="231"/>
      <c r="Y27" s="232" t="s">
        <v>134</v>
      </c>
      <c r="Z27" s="232"/>
      <c r="AA27" s="232" t="s">
        <v>196</v>
      </c>
      <c r="AB27" s="232"/>
      <c r="AC27" s="386" t="s">
        <v>137</v>
      </c>
      <c r="AD27" s="232"/>
      <c r="AE27" s="232" t="s">
        <v>136</v>
      </c>
      <c r="AF27" s="232"/>
      <c r="AG27" s="232" t="s">
        <v>135</v>
      </c>
      <c r="AH27" s="368"/>
      <c r="AI27" s="384"/>
      <c r="AJ27" s="383"/>
      <c r="AK27" s="383"/>
      <c r="AL27" s="383"/>
      <c r="AM27" s="410" t="s">
        <v>135</v>
      </c>
      <c r="AN27" s="384"/>
      <c r="AO27" s="384"/>
      <c r="AP27" s="384"/>
      <c r="AQ27" s="384"/>
      <c r="AR27" s="384"/>
      <c r="AS27" s="384"/>
      <c r="AT27" s="384"/>
      <c r="AU27" s="426"/>
      <c r="AV27" s="384"/>
      <c r="AW27" s="384"/>
      <c r="AX27" s="384"/>
      <c r="AY27" s="384"/>
      <c r="AZ27" s="384"/>
      <c r="BA27" s="384"/>
      <c r="BB27" s="384"/>
      <c r="BC27" s="384"/>
      <c r="BD27" s="426"/>
      <c r="BE27" s="384"/>
      <c r="BF27" s="384"/>
    </row>
    <row r="28" spans="1:58" s="14" customFormat="1" x14ac:dyDescent="0.2">
      <c r="A28" s="19"/>
      <c r="C28" s="96" t="s">
        <v>78</v>
      </c>
      <c r="D28" s="10"/>
      <c r="G28" s="15"/>
      <c r="H28" s="15"/>
      <c r="V28" s="16"/>
      <c r="W28" s="16"/>
      <c r="X28" s="15"/>
      <c r="Y28" s="15"/>
      <c r="Z28" s="16"/>
      <c r="AA28" s="15"/>
      <c r="AB28" s="15"/>
      <c r="AC28" s="15"/>
      <c r="AD28" s="15"/>
      <c r="AG28" s="16"/>
      <c r="AH28" s="16"/>
      <c r="AI28" s="15"/>
      <c r="AJ28" s="15"/>
      <c r="AK28" s="15"/>
      <c r="AL28" s="15"/>
      <c r="AM28" s="411"/>
      <c r="AU28" s="427"/>
      <c r="BD28" s="427"/>
    </row>
    <row r="29" spans="1:58" s="17" customFormat="1" x14ac:dyDescent="0.2">
      <c r="A29" s="54"/>
      <c r="I29" s="55"/>
      <c r="M29" s="92"/>
      <c r="N29" s="90"/>
      <c r="P29" s="90"/>
      <c r="R29" s="90"/>
      <c r="T29" s="90"/>
      <c r="V29" s="90"/>
      <c r="X29" s="90"/>
      <c r="Z29" s="36"/>
      <c r="AA29" s="36"/>
      <c r="AB29" s="36"/>
      <c r="AG29" s="36"/>
      <c r="AH29" s="36"/>
      <c r="AM29" s="412"/>
      <c r="AU29" s="412"/>
      <c r="BD29" s="412"/>
    </row>
    <row r="30" spans="1:58" s="17" customFormat="1" x14ac:dyDescent="0.2">
      <c r="A30" s="54"/>
      <c r="C30" s="2" t="s">
        <v>2</v>
      </c>
      <c r="D30" s="10"/>
      <c r="E30" s="3" t="s">
        <v>3</v>
      </c>
      <c r="G30" s="82">
        <f>SUM(I30:AG30)</f>
        <v>7815162816.2700005</v>
      </c>
      <c r="I30" s="110">
        <f>I10</f>
        <v>712017562.00999999</v>
      </c>
      <c r="J30" s="8"/>
      <c r="K30" s="110">
        <f>K10</f>
        <v>580194446.90999997</v>
      </c>
      <c r="L30" s="8"/>
      <c r="M30" s="110">
        <f>M10</f>
        <v>246846679.05000001</v>
      </c>
      <c r="N30" s="46"/>
      <c r="O30" s="110">
        <f>O10</f>
        <v>615843381.10000002</v>
      </c>
      <c r="P30" s="46"/>
      <c r="Q30" s="110">
        <f>Q10</f>
        <v>1108959113.1300001</v>
      </c>
      <c r="R30" s="46"/>
      <c r="S30" s="110">
        <f>S10</f>
        <v>573781841.95000005</v>
      </c>
      <c r="T30" s="46"/>
      <c r="U30" s="110">
        <f>U10</f>
        <v>3977519792.1199999</v>
      </c>
      <c r="V30" s="1"/>
      <c r="W30" s="1"/>
      <c r="X30" s="90"/>
      <c r="Z30" s="36"/>
      <c r="AA30" s="36"/>
      <c r="AB30" s="36"/>
      <c r="AG30" s="36"/>
      <c r="AH30" s="36"/>
      <c r="AM30" s="412"/>
      <c r="AU30" s="412"/>
      <c r="BD30" s="412"/>
    </row>
    <row r="31" spans="1:58" s="17" customFormat="1" x14ac:dyDescent="0.2">
      <c r="A31" s="54"/>
      <c r="C31" s="3" t="s">
        <v>4</v>
      </c>
      <c r="D31" s="10"/>
      <c r="E31" s="3" t="s">
        <v>5</v>
      </c>
      <c r="G31" s="83">
        <f>SUM(I31:AG31)</f>
        <v>3090789.333333333</v>
      </c>
      <c r="I31" s="111">
        <f>I11</f>
        <v>299655.58333333331</v>
      </c>
      <c r="J31" s="8"/>
      <c r="K31" s="110">
        <f>K11</f>
        <v>249509.25</v>
      </c>
      <c r="L31" s="8"/>
      <c r="M31" s="110">
        <f>M11</f>
        <v>74383.416666666672</v>
      </c>
      <c r="N31" s="46"/>
      <c r="O31" s="110">
        <f>O11</f>
        <v>273973.91666666669</v>
      </c>
      <c r="P31" s="46"/>
      <c r="Q31" s="110">
        <f>Q11</f>
        <v>337869.5</v>
      </c>
      <c r="R31" s="46"/>
      <c r="S31" s="110">
        <f>S11</f>
        <v>247834.75</v>
      </c>
      <c r="T31" s="46"/>
      <c r="U31" s="110">
        <f>U11</f>
        <v>1607562.9166666667</v>
      </c>
      <c r="V31" s="1"/>
      <c r="W31" s="1"/>
      <c r="X31" s="90"/>
      <c r="Z31" s="36"/>
      <c r="AA31" s="36"/>
      <c r="AB31" s="36"/>
      <c r="AG31" s="36"/>
      <c r="AH31" s="36"/>
      <c r="AM31" s="412"/>
      <c r="AU31" s="412"/>
      <c r="BD31" s="412"/>
    </row>
    <row r="32" spans="1:58" s="17" customFormat="1" x14ac:dyDescent="0.2">
      <c r="A32" s="54"/>
      <c r="C32" s="2" t="s">
        <v>15</v>
      </c>
      <c r="D32" s="10"/>
      <c r="E32" s="3" t="s">
        <v>3</v>
      </c>
      <c r="G32" s="82">
        <f>SUM(I32:AG32)</f>
        <v>276720785.88</v>
      </c>
      <c r="I32" s="111">
        <f>I12</f>
        <v>31254669.100000001</v>
      </c>
      <c r="J32" s="8"/>
      <c r="K32" s="110">
        <f>K12</f>
        <v>26613522.739999998</v>
      </c>
      <c r="L32" s="8"/>
      <c r="M32" s="111">
        <f>M12</f>
        <v>8773969.5999999996</v>
      </c>
      <c r="N32" s="46"/>
      <c r="O32" s="111">
        <f>O12</f>
        <v>23385584.489999998</v>
      </c>
      <c r="P32" s="46"/>
      <c r="Q32" s="110">
        <f>Q12</f>
        <v>37389660.939999998</v>
      </c>
      <c r="R32" s="46"/>
      <c r="S32" s="110">
        <f>S12</f>
        <v>31054400.039999999</v>
      </c>
      <c r="T32" s="46"/>
      <c r="U32" s="110">
        <f>U12</f>
        <v>118248978.97</v>
      </c>
      <c r="V32" s="1"/>
      <c r="W32" s="1"/>
      <c r="X32" s="90"/>
      <c r="Z32" s="36"/>
      <c r="AA32" s="36"/>
      <c r="AB32" s="36"/>
      <c r="AG32" s="36"/>
      <c r="AH32" s="36"/>
      <c r="AM32" s="412"/>
      <c r="AU32" s="412"/>
      <c r="BD32" s="412"/>
    </row>
    <row r="33" spans="1:56" s="17" customFormat="1" x14ac:dyDescent="0.2">
      <c r="A33" s="54"/>
      <c r="C33" s="47" t="s">
        <v>16</v>
      </c>
      <c r="D33" s="10"/>
      <c r="E33" s="3"/>
      <c r="I33" s="1"/>
      <c r="J33" s="4"/>
      <c r="K33" s="1"/>
      <c r="L33" s="4"/>
      <c r="M33" s="1"/>
      <c r="N33" s="1"/>
      <c r="O33" s="1"/>
      <c r="P33" s="1"/>
      <c r="Q33" s="1"/>
      <c r="R33" s="1"/>
      <c r="S33" s="1"/>
      <c r="T33" s="1"/>
      <c r="U33" s="1"/>
      <c r="V33" s="1"/>
      <c r="W33" s="1"/>
      <c r="X33" s="90"/>
      <c r="Z33" s="36"/>
      <c r="AA33" s="36"/>
      <c r="AB33" s="36"/>
      <c r="AG33" s="36"/>
      <c r="AH33" s="36"/>
      <c r="AM33" s="412"/>
      <c r="AU33" s="412"/>
      <c r="BD33" s="412"/>
    </row>
    <row r="34" spans="1:56" s="17" customFormat="1" x14ac:dyDescent="0.2">
      <c r="A34" s="54"/>
      <c r="I34" s="55"/>
      <c r="M34" s="92"/>
      <c r="N34" s="90"/>
      <c r="P34" s="90"/>
      <c r="R34" s="90"/>
      <c r="T34" s="90"/>
      <c r="V34" s="90"/>
      <c r="W34" s="90"/>
      <c r="X34" s="90"/>
      <c r="Z34" s="36"/>
      <c r="AA34" s="36"/>
      <c r="AB34" s="36"/>
      <c r="AG34" s="36"/>
      <c r="AH34" s="36"/>
      <c r="AM34" s="412"/>
      <c r="AU34" s="412"/>
      <c r="BD34" s="412"/>
    </row>
    <row r="35" spans="1:56" s="17" customFormat="1" x14ac:dyDescent="0.2">
      <c r="A35" s="54"/>
      <c r="C35" s="2" t="s">
        <v>2</v>
      </c>
      <c r="D35" s="10"/>
      <c r="E35" s="14" t="s">
        <v>6</v>
      </c>
      <c r="F35" s="95"/>
      <c r="G35" s="99">
        <f>SUM(I35:AG35)</f>
        <v>1</v>
      </c>
      <c r="I35" s="99">
        <f>1-SUM(K35:BF35)</f>
        <v>9.1199999999999948E-2</v>
      </c>
      <c r="J35" s="100"/>
      <c r="K35" s="99">
        <f>ROUND(K30/$G$30,4)</f>
        <v>7.4200000000000002E-2</v>
      </c>
      <c r="L35" s="100"/>
      <c r="M35" s="99">
        <f>ROUND(M30/$G$30,4)</f>
        <v>3.1600000000000003E-2</v>
      </c>
      <c r="N35" s="101"/>
      <c r="O35" s="99">
        <f>ROUND(O30/$G$30,4)</f>
        <v>7.8799999999999995E-2</v>
      </c>
      <c r="P35" s="101"/>
      <c r="Q35" s="99">
        <f>ROUND(Q30/$G$30,4)</f>
        <v>0.1419</v>
      </c>
      <c r="R35" s="101"/>
      <c r="S35" s="99">
        <f>ROUND(S30/$G$30,4)</f>
        <v>7.3400000000000007E-2</v>
      </c>
      <c r="T35" s="101"/>
      <c r="U35" s="99">
        <f>ROUND(U30/$G$30,4)</f>
        <v>0.50890000000000002</v>
      </c>
      <c r="V35" s="101"/>
      <c r="W35" s="101"/>
      <c r="X35" s="90"/>
      <c r="Y35" s="102"/>
      <c r="Z35" s="103"/>
      <c r="AA35" s="103"/>
      <c r="AB35" s="103"/>
      <c r="AG35" s="103"/>
      <c r="AH35" s="103"/>
      <c r="AI35" s="102"/>
      <c r="AJ35" s="102"/>
      <c r="AK35" s="102"/>
      <c r="AL35" s="102"/>
      <c r="AM35" s="413"/>
      <c r="AU35" s="412"/>
      <c r="BD35" s="412"/>
    </row>
    <row r="36" spans="1:56" s="17" customFormat="1" x14ac:dyDescent="0.2">
      <c r="A36" s="54"/>
      <c r="C36" s="3" t="s">
        <v>4</v>
      </c>
      <c r="D36" s="10"/>
      <c r="E36" s="14" t="s">
        <v>6</v>
      </c>
      <c r="F36" s="95"/>
      <c r="G36" s="99">
        <f>SUM(I36:AG36)</f>
        <v>1</v>
      </c>
      <c r="I36" s="205">
        <f>1-SUM(K36:BF36)</f>
        <v>9.6999999999999975E-2</v>
      </c>
      <c r="J36" s="206"/>
      <c r="K36" s="205">
        <f>ROUND(K31/$G$31,4)</f>
        <v>8.0699999999999994E-2</v>
      </c>
      <c r="L36" s="206"/>
      <c r="M36" s="205">
        <f>ROUND(M31/$G$31,4)</f>
        <v>2.41E-2</v>
      </c>
      <c r="N36" s="207"/>
      <c r="O36" s="205">
        <f>ROUND(O31/$G$31,4)</f>
        <v>8.8599999999999998E-2</v>
      </c>
      <c r="P36" s="207"/>
      <c r="Q36" s="205">
        <f>ROUND(Q31/$G$31,4)</f>
        <v>0.10929999999999999</v>
      </c>
      <c r="R36" s="207"/>
      <c r="S36" s="205">
        <f>ROUND(S31/$G$31,4)</f>
        <v>8.0199999999999994E-2</v>
      </c>
      <c r="T36" s="207"/>
      <c r="U36" s="205">
        <f>ROUND(U31/$G$31,4)</f>
        <v>0.52010000000000001</v>
      </c>
      <c r="V36" s="101"/>
      <c r="W36" s="101"/>
      <c r="X36" s="90"/>
      <c r="Z36" s="36"/>
      <c r="AA36" s="36"/>
      <c r="AB36" s="36"/>
      <c r="AG36" s="36"/>
      <c r="AH36" s="36"/>
      <c r="AM36" s="412"/>
      <c r="AU36" s="412"/>
      <c r="BD36" s="412"/>
    </row>
    <row r="37" spans="1:56" s="17" customFormat="1" x14ac:dyDescent="0.2">
      <c r="A37" s="54"/>
      <c r="C37" s="2" t="s">
        <v>7</v>
      </c>
      <c r="D37" s="10"/>
      <c r="E37" s="14" t="s">
        <v>6</v>
      </c>
      <c r="F37" s="95"/>
      <c r="G37" s="99">
        <f>SUM(I37:AG37)</f>
        <v>1</v>
      </c>
      <c r="I37" s="99">
        <f>1-SUM(K37:BF37)</f>
        <v>0.11299999999999999</v>
      </c>
      <c r="J37" s="100"/>
      <c r="K37" s="99">
        <f>ROUND(K32/$G$32,4)</f>
        <v>9.6199999999999994E-2</v>
      </c>
      <c r="L37" s="100"/>
      <c r="M37" s="99">
        <f>ROUND(M32/$G$32,4)</f>
        <v>3.1699999999999999E-2</v>
      </c>
      <c r="N37" s="101"/>
      <c r="O37" s="99">
        <f>ROUND(O32/$G$32,4)</f>
        <v>8.4500000000000006E-2</v>
      </c>
      <c r="P37" s="101"/>
      <c r="Q37" s="99">
        <f>ROUND(Q32/$G$32,4)</f>
        <v>0.1351</v>
      </c>
      <c r="R37" s="101"/>
      <c r="S37" s="99">
        <f>ROUND(S32/$G$32,4)</f>
        <v>0.11219999999999999</v>
      </c>
      <c r="T37" s="101"/>
      <c r="U37" s="99">
        <f>ROUND(U32/$G$32,4)</f>
        <v>0.42730000000000001</v>
      </c>
      <c r="V37" s="101"/>
      <c r="W37" s="101"/>
      <c r="X37" s="90"/>
      <c r="Z37" s="36"/>
      <c r="AA37" s="36"/>
      <c r="AB37" s="36"/>
      <c r="AG37" s="36"/>
      <c r="AH37" s="36"/>
      <c r="AM37" s="412"/>
      <c r="AU37" s="412"/>
      <c r="BD37" s="412"/>
    </row>
    <row r="38" spans="1:56" s="17" customFormat="1" x14ac:dyDescent="0.2">
      <c r="A38" s="54"/>
      <c r="C38" s="51"/>
      <c r="D38" s="10"/>
      <c r="E38" s="14"/>
      <c r="G38" s="91"/>
      <c r="I38" s="100"/>
      <c r="J38" s="100"/>
      <c r="K38" s="100"/>
      <c r="L38" s="100"/>
      <c r="M38" s="100"/>
      <c r="N38" s="101"/>
      <c r="O38" s="100"/>
      <c r="P38" s="101"/>
      <c r="Q38" s="100"/>
      <c r="R38" s="101"/>
      <c r="S38" s="100"/>
      <c r="T38" s="101"/>
      <c r="U38" s="100"/>
      <c r="V38" s="101"/>
      <c r="W38" s="101"/>
      <c r="X38" s="90"/>
      <c r="Z38" s="36"/>
      <c r="AA38" s="36"/>
      <c r="AB38" s="36"/>
      <c r="AG38" s="36"/>
      <c r="AH38" s="36"/>
      <c r="AM38" s="412"/>
      <c r="AU38" s="412"/>
      <c r="BD38" s="412"/>
    </row>
    <row r="39" spans="1:56" s="17" customFormat="1" x14ac:dyDescent="0.2">
      <c r="A39" s="54"/>
      <c r="C39" s="51" t="str">
        <f>C19</f>
        <v>Total Composite Factor for FY 2017</v>
      </c>
      <c r="D39" s="10"/>
      <c r="E39" s="14" t="s">
        <v>6</v>
      </c>
      <c r="G39" s="99">
        <f>SUM(I39:AG39)</f>
        <v>1</v>
      </c>
      <c r="I39" s="233">
        <f>1-SUM(K39:BF39)</f>
        <v>0.10040000000000004</v>
      </c>
      <c r="J39" s="234"/>
      <c r="K39" s="233">
        <f>ROUND(AVERAGE(K35:K37),4)</f>
        <v>8.3699999999999997E-2</v>
      </c>
      <c r="L39" s="234"/>
      <c r="M39" s="233">
        <f>ROUND(AVERAGE(M35:M37),4)</f>
        <v>2.9100000000000001E-2</v>
      </c>
      <c r="N39" s="235"/>
      <c r="O39" s="233">
        <f>ROUND(AVERAGE(O35:O37),4)</f>
        <v>8.4000000000000005E-2</v>
      </c>
      <c r="P39" s="235"/>
      <c r="Q39" s="233">
        <f>ROUND(AVERAGE(Q35:Q37),4)</f>
        <v>0.1288</v>
      </c>
      <c r="R39" s="235"/>
      <c r="S39" s="233">
        <f>ROUND(AVERAGE(S35:S37),4)</f>
        <v>8.8599999999999998E-2</v>
      </c>
      <c r="T39" s="235"/>
      <c r="U39" s="233">
        <f>ROUND(AVERAGE(U35:U37),4)</f>
        <v>0.4854</v>
      </c>
      <c r="V39" s="108"/>
      <c r="W39" s="101"/>
      <c r="X39" s="90"/>
      <c r="Z39" s="36"/>
      <c r="AA39" s="36"/>
      <c r="AB39" s="36"/>
      <c r="AG39" s="36"/>
      <c r="AH39" s="36"/>
      <c r="AM39" s="412"/>
      <c r="AU39" s="412"/>
      <c r="BD39" s="412"/>
    </row>
    <row r="40" spans="1:56" s="17" customFormat="1" x14ac:dyDescent="0.2">
      <c r="A40" s="54"/>
      <c r="C40" s="51"/>
      <c r="D40" s="10"/>
      <c r="E40" s="14"/>
      <c r="G40" s="101"/>
      <c r="I40" s="101"/>
      <c r="J40" s="100"/>
      <c r="K40" s="101"/>
      <c r="L40" s="100"/>
      <c r="M40" s="101"/>
      <c r="N40" s="101"/>
      <c r="O40" s="101"/>
      <c r="P40" s="101"/>
      <c r="Q40" s="101"/>
      <c r="R40" s="101"/>
      <c r="S40" s="101"/>
      <c r="T40" s="101"/>
      <c r="U40" s="101"/>
      <c r="V40" s="108"/>
      <c r="W40" s="101"/>
      <c r="X40" s="90"/>
      <c r="Z40" s="36"/>
      <c r="AA40" s="36"/>
      <c r="AB40" s="36"/>
      <c r="AG40" s="36"/>
      <c r="AH40" s="36"/>
      <c r="AM40" s="412"/>
      <c r="AU40" s="412"/>
      <c r="BD40" s="412"/>
    </row>
    <row r="41" spans="1:56" ht="15.75" x14ac:dyDescent="0.25">
      <c r="G41" s="151"/>
      <c r="I41" s="243" t="s">
        <v>188</v>
      </c>
      <c r="J41" s="227"/>
      <c r="K41" s="227" t="s">
        <v>189</v>
      </c>
      <c r="L41" s="227"/>
      <c r="M41" s="227" t="s">
        <v>190</v>
      </c>
      <c r="N41" s="226"/>
      <c r="O41" s="244" t="s">
        <v>190</v>
      </c>
      <c r="P41" s="226"/>
      <c r="Q41" s="227" t="s">
        <v>191</v>
      </c>
      <c r="R41" s="226"/>
      <c r="S41" s="227" t="s">
        <v>192</v>
      </c>
      <c r="T41" s="226"/>
      <c r="U41" s="227" t="s">
        <v>193</v>
      </c>
    </row>
    <row r="42" spans="1:56" ht="15.75" x14ac:dyDescent="0.25">
      <c r="I42" s="242" t="s">
        <v>138</v>
      </c>
      <c r="J42" s="229"/>
      <c r="K42" s="229" t="s">
        <v>139</v>
      </c>
      <c r="L42" s="229"/>
      <c r="M42" s="229" t="s">
        <v>140</v>
      </c>
      <c r="N42" s="229"/>
      <c r="O42" s="229" t="s">
        <v>140</v>
      </c>
      <c r="P42" s="229"/>
      <c r="Q42" s="229" t="s">
        <v>141</v>
      </c>
      <c r="R42" s="229"/>
      <c r="S42" s="230" t="s">
        <v>142</v>
      </c>
      <c r="T42" s="229"/>
      <c r="U42" s="230" t="s">
        <v>143</v>
      </c>
    </row>
    <row r="43" spans="1:56" s="151" customFormat="1" ht="15.75" x14ac:dyDescent="0.25">
      <c r="A43" s="358"/>
      <c r="I43" s="242" t="s">
        <v>401</v>
      </c>
      <c r="J43" s="229"/>
      <c r="K43" s="229" t="s">
        <v>396</v>
      </c>
      <c r="L43" s="229"/>
      <c r="M43" s="229" t="s">
        <v>397</v>
      </c>
      <c r="N43" s="229"/>
      <c r="O43" s="229" t="s">
        <v>397</v>
      </c>
      <c r="P43" s="229"/>
      <c r="Q43" s="229" t="s">
        <v>398</v>
      </c>
      <c r="R43" s="229"/>
      <c r="S43" s="230" t="s">
        <v>399</v>
      </c>
      <c r="T43" s="229"/>
      <c r="U43" s="230" t="s">
        <v>400</v>
      </c>
      <c r="V43" s="362"/>
      <c r="X43" s="362"/>
      <c r="AM43" s="414"/>
      <c r="AU43" s="414"/>
      <c r="BD43" s="414"/>
    </row>
    <row r="44" spans="1:56" s="151" customFormat="1" ht="15.75" x14ac:dyDescent="0.25">
      <c r="A44" s="358"/>
      <c r="I44" s="243" t="s">
        <v>378</v>
      </c>
      <c r="J44" s="370"/>
      <c r="K44" s="370" t="s">
        <v>425</v>
      </c>
      <c r="L44" s="370"/>
      <c r="M44" s="370" t="s">
        <v>426</v>
      </c>
      <c r="N44" s="370"/>
      <c r="O44" s="370" t="s">
        <v>426</v>
      </c>
      <c r="P44" s="370"/>
      <c r="Q44" s="370" t="s">
        <v>420</v>
      </c>
      <c r="R44" s="370"/>
      <c r="S44" s="371" t="s">
        <v>421</v>
      </c>
      <c r="T44" s="370"/>
      <c r="U44" s="371" t="s">
        <v>422</v>
      </c>
      <c r="V44" s="362"/>
      <c r="X44" s="362"/>
      <c r="AM44" s="414"/>
      <c r="AU44" s="414"/>
      <c r="BD44" s="414"/>
    </row>
    <row r="45" spans="1:56" x14ac:dyDescent="0.2">
      <c r="I45" s="5"/>
      <c r="O45" s="91"/>
    </row>
    <row r="46" spans="1:56" x14ac:dyDescent="0.2">
      <c r="C46" s="96" t="s">
        <v>80</v>
      </c>
      <c r="D46" s="10"/>
      <c r="E46" s="14"/>
      <c r="F46" s="14"/>
      <c r="G46" s="15"/>
      <c r="H46" s="15"/>
      <c r="I46" s="5"/>
      <c r="N46" s="5"/>
      <c r="P46" s="5"/>
      <c r="R46" s="5"/>
      <c r="T46" s="5"/>
      <c r="V46" s="5"/>
    </row>
    <row r="47" spans="1:56" x14ac:dyDescent="0.2">
      <c r="C47" s="17"/>
      <c r="D47" s="17"/>
      <c r="E47" s="17"/>
      <c r="F47" s="17"/>
      <c r="G47" s="17"/>
      <c r="H47" s="17"/>
      <c r="I47" s="55"/>
      <c r="J47" s="17"/>
      <c r="K47" s="17"/>
      <c r="L47" s="17"/>
      <c r="M47" s="92"/>
      <c r="N47" s="90"/>
      <c r="O47" s="17"/>
      <c r="P47" s="90"/>
      <c r="Q47" s="17"/>
      <c r="R47" s="90"/>
      <c r="S47" s="17"/>
      <c r="T47" s="90"/>
      <c r="U47" s="17"/>
    </row>
    <row r="48" spans="1:56" x14ac:dyDescent="0.2">
      <c r="C48" s="2" t="s">
        <v>2</v>
      </c>
      <c r="D48" s="10"/>
      <c r="E48" s="3" t="s">
        <v>3</v>
      </c>
      <c r="F48" s="17"/>
      <c r="G48" s="82">
        <f>SUM(I48:AG48)</f>
        <v>10379830336.93</v>
      </c>
      <c r="H48" s="17"/>
      <c r="I48" s="110">
        <f>I10</f>
        <v>712017562.00999999</v>
      </c>
      <c r="J48" s="8"/>
      <c r="K48" s="110">
        <f>K10</f>
        <v>580194446.90999997</v>
      </c>
      <c r="L48" s="8"/>
      <c r="M48" s="110">
        <f>M10</f>
        <v>246846679.05000001</v>
      </c>
      <c r="N48" s="46"/>
      <c r="O48" s="110">
        <f>O10</f>
        <v>615843381.10000002</v>
      </c>
      <c r="P48" s="46"/>
      <c r="Q48" s="110">
        <f>Q10</f>
        <v>1108959113.1300001</v>
      </c>
      <c r="R48" s="46"/>
      <c r="S48" s="110">
        <f>S10</f>
        <v>573781841.95000005</v>
      </c>
      <c r="T48" s="46"/>
      <c r="U48" s="110">
        <f>U10</f>
        <v>3977519792.1199999</v>
      </c>
      <c r="W48" s="110">
        <f>W10</f>
        <v>2564667520.6599998</v>
      </c>
    </row>
    <row r="49" spans="1:56" x14ac:dyDescent="0.2">
      <c r="C49" s="3" t="s">
        <v>4</v>
      </c>
      <c r="D49" s="10"/>
      <c r="E49" s="3" t="s">
        <v>5</v>
      </c>
      <c r="F49" s="17"/>
      <c r="G49" s="83">
        <f>SUM(I49:AG49)</f>
        <v>3091105.083333333</v>
      </c>
      <c r="H49" s="17"/>
      <c r="I49" s="110">
        <f>I11</f>
        <v>299655.58333333331</v>
      </c>
      <c r="J49" s="8"/>
      <c r="K49" s="110">
        <f>K11</f>
        <v>249509.25</v>
      </c>
      <c r="L49" s="8"/>
      <c r="M49" s="110">
        <f>M11</f>
        <v>74383.416666666672</v>
      </c>
      <c r="N49" s="46"/>
      <c r="O49" s="110">
        <f>O11</f>
        <v>273973.91666666669</v>
      </c>
      <c r="P49" s="46"/>
      <c r="Q49" s="110">
        <f>Q11</f>
        <v>337869.5</v>
      </c>
      <c r="R49" s="46"/>
      <c r="S49" s="110">
        <f>S11</f>
        <v>247834.75</v>
      </c>
      <c r="T49" s="46"/>
      <c r="U49" s="110">
        <f>U11</f>
        <v>1607562.9166666667</v>
      </c>
      <c r="W49" s="110">
        <f>W11</f>
        <v>315.75</v>
      </c>
    </row>
    <row r="50" spans="1:56" x14ac:dyDescent="0.2">
      <c r="C50" s="2" t="s">
        <v>15</v>
      </c>
      <c r="D50" s="10"/>
      <c r="E50" s="3" t="s">
        <v>3</v>
      </c>
      <c r="F50" s="17"/>
      <c r="G50" s="82">
        <f>SUM(I50:AG50)</f>
        <v>391362000.89999998</v>
      </c>
      <c r="H50" s="17"/>
      <c r="I50" s="110">
        <f>I12</f>
        <v>31254669.100000001</v>
      </c>
      <c r="J50" s="8"/>
      <c r="K50" s="110">
        <f>K12</f>
        <v>26613522.739999998</v>
      </c>
      <c r="L50" s="8"/>
      <c r="M50" s="110">
        <f>M12</f>
        <v>8773969.5999999996</v>
      </c>
      <c r="N50" s="46"/>
      <c r="O50" s="110">
        <f>O12</f>
        <v>23385584.489999998</v>
      </c>
      <c r="P50" s="46"/>
      <c r="Q50" s="110">
        <f>Q12</f>
        <v>37389660.939999998</v>
      </c>
      <c r="R50" s="46"/>
      <c r="S50" s="110">
        <f>S12</f>
        <v>31054400.039999999</v>
      </c>
      <c r="T50" s="46"/>
      <c r="U50" s="110">
        <f>U12</f>
        <v>118248978.97</v>
      </c>
      <c r="W50" s="110">
        <f>W12</f>
        <v>114641215.02</v>
      </c>
    </row>
    <row r="51" spans="1:56" x14ac:dyDescent="0.2">
      <c r="C51" s="47" t="s">
        <v>16</v>
      </c>
      <c r="D51" s="10"/>
      <c r="E51" s="3"/>
      <c r="F51" s="17"/>
      <c r="G51" s="17"/>
      <c r="H51" s="17"/>
      <c r="I51" s="1"/>
      <c r="J51" s="4"/>
      <c r="K51" s="1"/>
      <c r="L51" s="4"/>
      <c r="M51" s="1"/>
      <c r="N51" s="1"/>
      <c r="O51" s="1"/>
      <c r="P51" s="1"/>
      <c r="Q51" s="1"/>
      <c r="R51" s="1"/>
      <c r="S51" s="1"/>
      <c r="T51" s="1"/>
      <c r="U51" s="1"/>
      <c r="W51" s="18"/>
    </row>
    <row r="52" spans="1:56" x14ac:dyDescent="0.2">
      <c r="C52" s="17"/>
      <c r="D52" s="17"/>
      <c r="E52" s="17"/>
      <c r="F52" s="17"/>
      <c r="G52" s="17"/>
      <c r="H52" s="17"/>
      <c r="I52" s="55"/>
      <c r="J52" s="17"/>
      <c r="K52" s="17"/>
      <c r="L52" s="17"/>
      <c r="M52" s="92"/>
      <c r="N52" s="90"/>
      <c r="O52" s="17"/>
      <c r="P52" s="90"/>
      <c r="Q52" s="17"/>
      <c r="R52" s="90"/>
      <c r="S52" s="17"/>
      <c r="T52" s="90"/>
      <c r="U52" s="17"/>
    </row>
    <row r="53" spans="1:56" x14ac:dyDescent="0.2">
      <c r="C53" s="2" t="s">
        <v>2</v>
      </c>
      <c r="D53" s="10"/>
      <c r="E53" s="14" t="s">
        <v>6</v>
      </c>
      <c r="F53" s="95"/>
      <c r="G53" s="99">
        <f>SUM(I53:AG53)</f>
        <v>1</v>
      </c>
      <c r="H53" s="17"/>
      <c r="I53" s="99">
        <f>1-SUM(K53:BF53)</f>
        <v>6.8600000000000105E-2</v>
      </c>
      <c r="J53" s="100"/>
      <c r="K53" s="99">
        <f>ROUND(K48/$G$48,4)</f>
        <v>5.5899999999999998E-2</v>
      </c>
      <c r="L53" s="100"/>
      <c r="M53" s="99">
        <f>ROUND(M48/$G$48,4)</f>
        <v>2.3800000000000002E-2</v>
      </c>
      <c r="N53" s="101"/>
      <c r="O53" s="99">
        <f>ROUND(O48/$G$48,4)</f>
        <v>5.9299999999999999E-2</v>
      </c>
      <c r="P53" s="101"/>
      <c r="Q53" s="99">
        <f>ROUND(Q48/$G$48,4)</f>
        <v>0.10680000000000001</v>
      </c>
      <c r="R53" s="101"/>
      <c r="S53" s="99">
        <f>ROUND(S48/$G$48,4)</f>
        <v>5.5300000000000002E-2</v>
      </c>
      <c r="T53" s="101"/>
      <c r="U53" s="99">
        <f>ROUND(U48/$G$48,4)</f>
        <v>0.38319999999999999</v>
      </c>
      <c r="W53" s="99">
        <f>ROUND(W48/$G$48,4)</f>
        <v>0.24709999999999999</v>
      </c>
    </row>
    <row r="54" spans="1:56" x14ac:dyDescent="0.2">
      <c r="C54" s="3" t="s">
        <v>4</v>
      </c>
      <c r="D54" s="10"/>
      <c r="E54" s="14" t="s">
        <v>6</v>
      </c>
      <c r="F54" s="95"/>
      <c r="G54" s="99">
        <f>SUM(I54:AG54)</f>
        <v>1</v>
      </c>
      <c r="H54" s="17"/>
      <c r="I54" s="205">
        <f>1-SUM(K54:BF54)</f>
        <v>9.6897852065365719E-2</v>
      </c>
      <c r="J54" s="206"/>
      <c r="K54" s="205">
        <f>ROUND(K49/$G$49,4)</f>
        <v>8.0699999999999994E-2</v>
      </c>
      <c r="L54" s="206"/>
      <c r="M54" s="205">
        <f>ROUND(M49/$G$49,4)</f>
        <v>2.41E-2</v>
      </c>
      <c r="N54" s="207"/>
      <c r="O54" s="205">
        <f>ROUND(O49/$G$49,4)</f>
        <v>8.8599999999999998E-2</v>
      </c>
      <c r="P54" s="207"/>
      <c r="Q54" s="205">
        <f>ROUND(Q49/$G$49,4)</f>
        <v>0.10929999999999999</v>
      </c>
      <c r="R54" s="207"/>
      <c r="S54" s="205">
        <f>ROUND(S49/$G$49,4)</f>
        <v>8.0199999999999994E-2</v>
      </c>
      <c r="T54" s="207"/>
      <c r="U54" s="205">
        <f>ROUND(U49/$G$49,4)</f>
        <v>0.52010000000000001</v>
      </c>
      <c r="V54" s="225"/>
      <c r="W54" s="205">
        <f>(W49/$G$49)</f>
        <v>1.0214793463427226E-4</v>
      </c>
    </row>
    <row r="55" spans="1:56" x14ac:dyDescent="0.2">
      <c r="C55" s="2" t="s">
        <v>7</v>
      </c>
      <c r="D55" s="10"/>
      <c r="E55" s="14" t="s">
        <v>6</v>
      </c>
      <c r="F55" s="95"/>
      <c r="G55" s="99">
        <f>SUM(I55:AG55)</f>
        <v>1</v>
      </c>
      <c r="H55" s="17"/>
      <c r="I55" s="99">
        <f>1-SUM(K55:BF55)</f>
        <v>8.0000000000000071E-2</v>
      </c>
      <c r="J55" s="100"/>
      <c r="K55" s="99">
        <f>ROUND(K50/$G$50,4)</f>
        <v>6.8000000000000005E-2</v>
      </c>
      <c r="L55" s="100"/>
      <c r="M55" s="99">
        <f>ROUND(M50/$G$50,4)</f>
        <v>2.24E-2</v>
      </c>
      <c r="N55" s="101"/>
      <c r="O55" s="99">
        <f>ROUND(O50/$G$50,4)</f>
        <v>5.9799999999999999E-2</v>
      </c>
      <c r="P55" s="101"/>
      <c r="Q55" s="99">
        <f>ROUND(Q50/$G$50,4)</f>
        <v>9.5500000000000002E-2</v>
      </c>
      <c r="R55" s="101"/>
      <c r="S55" s="99">
        <f>ROUND(S50/$G$50,4)</f>
        <v>7.9299999999999995E-2</v>
      </c>
      <c r="T55" s="101"/>
      <c r="U55" s="99">
        <f>ROUND(U50/$G$50,4)</f>
        <v>0.30209999999999998</v>
      </c>
      <c r="W55" s="99">
        <f>ROUND(W50/$G$50,4)</f>
        <v>0.29289999999999999</v>
      </c>
    </row>
    <row r="56" spans="1:56" x14ac:dyDescent="0.2">
      <c r="C56" s="51"/>
      <c r="D56" s="10"/>
      <c r="E56" s="14"/>
      <c r="F56" s="17"/>
      <c r="G56" s="91"/>
      <c r="H56" s="17"/>
      <c r="I56" s="100"/>
      <c r="J56" s="100"/>
      <c r="K56" s="100"/>
      <c r="L56" s="100"/>
      <c r="M56" s="100"/>
      <c r="N56" s="101"/>
      <c r="O56" s="100"/>
      <c r="P56" s="101"/>
      <c r="Q56" s="100"/>
      <c r="R56" s="101"/>
      <c r="S56" s="100"/>
      <c r="T56" s="101"/>
      <c r="U56" s="100"/>
      <c r="W56" s="88"/>
    </row>
    <row r="57" spans="1:56" x14ac:dyDescent="0.2">
      <c r="C57" s="119" t="str">
        <f>C19</f>
        <v>Total Composite Factor for FY 2017</v>
      </c>
      <c r="D57" s="10"/>
      <c r="E57" s="14" t="s">
        <v>6</v>
      </c>
      <c r="F57" s="17"/>
      <c r="G57" s="99">
        <f>SUM(I57:AG57)</f>
        <v>1</v>
      </c>
      <c r="H57" s="17"/>
      <c r="I57" s="233">
        <f>1-SUM(K57:BF57)</f>
        <v>8.1900000000000084E-2</v>
      </c>
      <c r="J57" s="234"/>
      <c r="K57" s="233">
        <f>ROUND(AVERAGE(K53:K55),4)</f>
        <v>6.8199999999999997E-2</v>
      </c>
      <c r="L57" s="234"/>
      <c r="M57" s="233">
        <f>ROUND(AVERAGE(M53:M55),4)</f>
        <v>2.3400000000000001E-2</v>
      </c>
      <c r="N57" s="235"/>
      <c r="O57" s="233">
        <f>ROUND(AVERAGE(O53:O55),4)</f>
        <v>6.9199999999999998E-2</v>
      </c>
      <c r="P57" s="235"/>
      <c r="Q57" s="233">
        <f>ROUND(AVERAGE(Q53:Q55),4)</f>
        <v>0.10390000000000001</v>
      </c>
      <c r="R57" s="235"/>
      <c r="S57" s="233">
        <f>ROUND(AVERAGE(S53:S55),4)</f>
        <v>7.1599999999999997E-2</v>
      </c>
      <c r="T57" s="235"/>
      <c r="U57" s="233">
        <f>ROUND(AVERAGE(U53:U55),4)</f>
        <v>0.40179999999999999</v>
      </c>
      <c r="V57" s="236"/>
      <c r="W57" s="233">
        <f>ROUND(AVERAGE(W53:W55),4)</f>
        <v>0.18</v>
      </c>
    </row>
    <row r="59" spans="1:56" s="151" customFormat="1" ht="15.75" x14ac:dyDescent="0.25">
      <c r="A59" s="358"/>
      <c r="I59" s="359" t="s">
        <v>254</v>
      </c>
      <c r="J59" s="360"/>
      <c r="K59" s="360" t="s">
        <v>255</v>
      </c>
      <c r="L59" s="360"/>
      <c r="M59" s="360" t="s">
        <v>256</v>
      </c>
      <c r="N59" s="361"/>
      <c r="O59" s="244" t="s">
        <v>256</v>
      </c>
      <c r="P59" s="361"/>
      <c r="Q59" s="360" t="s">
        <v>257</v>
      </c>
      <c r="R59" s="361"/>
      <c r="S59" s="360" t="s">
        <v>258</v>
      </c>
      <c r="T59" s="361"/>
      <c r="U59" s="360" t="s">
        <v>259</v>
      </c>
      <c r="V59" s="361"/>
      <c r="W59" s="360" t="s">
        <v>260</v>
      </c>
      <c r="X59" s="362"/>
      <c r="AM59" s="414"/>
      <c r="AU59" s="414"/>
      <c r="BD59" s="414"/>
    </row>
    <row r="60" spans="1:56" s="151" customFormat="1" ht="15.75" x14ac:dyDescent="0.25">
      <c r="A60" s="358"/>
      <c r="I60" s="228" t="s">
        <v>180</v>
      </c>
      <c r="J60" s="229"/>
      <c r="K60" s="229" t="s">
        <v>181</v>
      </c>
      <c r="L60" s="229"/>
      <c r="M60" s="229" t="s">
        <v>182</v>
      </c>
      <c r="N60" s="229"/>
      <c r="O60" s="229" t="s">
        <v>182</v>
      </c>
      <c r="P60" s="229"/>
      <c r="Q60" s="229" t="s">
        <v>183</v>
      </c>
      <c r="R60" s="229"/>
      <c r="S60" s="230" t="s">
        <v>184</v>
      </c>
      <c r="T60" s="229"/>
      <c r="U60" s="230" t="s">
        <v>185</v>
      </c>
      <c r="V60" s="231"/>
      <c r="W60" s="232" t="s">
        <v>186</v>
      </c>
      <c r="X60" s="362" t="s">
        <v>333</v>
      </c>
      <c r="AM60" s="414"/>
      <c r="AU60" s="414"/>
      <c r="BD60" s="414"/>
    </row>
    <row r="61" spans="1:56" s="151" customFormat="1" ht="15.75" x14ac:dyDescent="0.25">
      <c r="A61" s="358"/>
      <c r="I61" s="228" t="s">
        <v>377</v>
      </c>
      <c r="J61" s="229"/>
      <c r="K61" s="229" t="s">
        <v>414</v>
      </c>
      <c r="L61" s="229"/>
      <c r="M61" s="229" t="s">
        <v>415</v>
      </c>
      <c r="N61" s="229"/>
      <c r="O61" s="229" t="s">
        <v>415</v>
      </c>
      <c r="P61" s="229"/>
      <c r="Q61" s="229" t="s">
        <v>416</v>
      </c>
      <c r="R61" s="229"/>
      <c r="S61" s="230" t="s">
        <v>417</v>
      </c>
      <c r="T61" s="229"/>
      <c r="U61" s="230" t="s">
        <v>419</v>
      </c>
      <c r="V61" s="231"/>
      <c r="W61" s="232" t="s">
        <v>418</v>
      </c>
      <c r="X61" s="362"/>
      <c r="AM61" s="414"/>
      <c r="AU61" s="414"/>
      <c r="BD61" s="414"/>
    </row>
    <row r="62" spans="1:56" s="151" customFormat="1" ht="15.75" x14ac:dyDescent="0.25">
      <c r="A62" s="358"/>
      <c r="I62" s="369"/>
      <c r="J62" s="149"/>
      <c r="K62" s="149"/>
      <c r="L62" s="149"/>
      <c r="M62" s="149"/>
      <c r="N62" s="149"/>
      <c r="O62" s="149"/>
      <c r="P62" s="149"/>
      <c r="Q62" s="149"/>
      <c r="R62" s="149"/>
      <c r="S62" s="150"/>
      <c r="T62" s="149"/>
      <c r="U62" s="150"/>
      <c r="V62" s="148"/>
      <c r="W62" s="147"/>
      <c r="X62" s="362"/>
      <c r="AM62" s="414"/>
      <c r="AU62" s="414"/>
      <c r="BD62" s="414"/>
    </row>
    <row r="63" spans="1:56" x14ac:dyDescent="0.2">
      <c r="C63" s="96" t="s">
        <v>144</v>
      </c>
      <c r="D63" s="10"/>
      <c r="E63" s="14"/>
      <c r="F63" s="14"/>
      <c r="G63" s="15"/>
      <c r="H63" s="15"/>
      <c r="I63" s="5"/>
      <c r="N63" s="5"/>
      <c r="P63" s="5"/>
      <c r="R63" s="5"/>
      <c r="T63" s="5"/>
      <c r="V63" s="5"/>
      <c r="X63" s="5"/>
      <c r="Z63" s="5"/>
      <c r="AA63" s="5"/>
      <c r="AB63" s="5"/>
      <c r="AG63" s="5"/>
    </row>
    <row r="64" spans="1:56" x14ac:dyDescent="0.2">
      <c r="C64" s="17"/>
      <c r="D64" s="17"/>
      <c r="E64" s="17"/>
      <c r="F64" s="17"/>
      <c r="G64" s="17"/>
      <c r="H64" s="17"/>
      <c r="I64" s="55"/>
      <c r="J64" s="17"/>
      <c r="K64" s="17"/>
      <c r="L64" s="17"/>
      <c r="M64" s="92"/>
      <c r="N64" s="90"/>
      <c r="O64" s="17"/>
      <c r="P64" s="90"/>
      <c r="Q64" s="17"/>
      <c r="R64" s="90"/>
      <c r="S64" s="17"/>
      <c r="T64" s="90"/>
      <c r="U64" s="17"/>
    </row>
    <row r="65" spans="3:32" x14ac:dyDescent="0.2">
      <c r="C65" s="2" t="s">
        <v>2</v>
      </c>
      <c r="D65" s="10"/>
      <c r="E65" s="3" t="s">
        <v>3</v>
      </c>
      <c r="F65" s="17"/>
      <c r="G65" s="82">
        <f>SUM(I65:AG65)</f>
        <v>10403171650</v>
      </c>
      <c r="H65" s="17"/>
      <c r="I65" s="110">
        <f>I10</f>
        <v>712017562.00999999</v>
      </c>
      <c r="J65" s="8"/>
      <c r="K65" s="110">
        <f>K10</f>
        <v>580194446.90999997</v>
      </c>
      <c r="L65" s="8"/>
      <c r="M65" s="110">
        <f>M10</f>
        <v>246846679.05000001</v>
      </c>
      <c r="N65" s="46"/>
      <c r="O65" s="110">
        <f>O10</f>
        <v>615843381.10000002</v>
      </c>
      <c r="P65" s="46"/>
      <c r="Q65" s="110">
        <f>Q10</f>
        <v>1108959113.1300001</v>
      </c>
      <c r="R65" s="46"/>
      <c r="S65" s="110">
        <f>S10</f>
        <v>573781841.95000005</v>
      </c>
      <c r="T65" s="46"/>
      <c r="U65" s="110">
        <f>U10</f>
        <v>3977519792.1199999</v>
      </c>
      <c r="W65" s="110">
        <f>W10</f>
        <v>2564667520.6599998</v>
      </c>
      <c r="AA65" s="114"/>
      <c r="AB65" s="114"/>
      <c r="AC65" s="46"/>
      <c r="AD65" s="46"/>
      <c r="AE65" s="110">
        <f>AE10</f>
        <v>23341313.07</v>
      </c>
      <c r="AF65" s="46"/>
    </row>
    <row r="66" spans="3:32" x14ac:dyDescent="0.2">
      <c r="C66" s="3" t="s">
        <v>4</v>
      </c>
      <c r="D66" s="10"/>
      <c r="E66" s="3" t="s">
        <v>5</v>
      </c>
      <c r="F66" s="17"/>
      <c r="G66" s="82">
        <f>SUM(I66:AG66)</f>
        <v>3091118.083333333</v>
      </c>
      <c r="H66" s="17"/>
      <c r="I66" s="110">
        <f>I11</f>
        <v>299655.58333333331</v>
      </c>
      <c r="J66" s="8"/>
      <c r="K66" s="110">
        <f>K11</f>
        <v>249509.25</v>
      </c>
      <c r="L66" s="8"/>
      <c r="M66" s="110">
        <f>M11</f>
        <v>74383.416666666672</v>
      </c>
      <c r="N66" s="46"/>
      <c r="O66" s="110">
        <f>O11</f>
        <v>273973.91666666669</v>
      </c>
      <c r="P66" s="46"/>
      <c r="Q66" s="110">
        <f>Q11</f>
        <v>337869.5</v>
      </c>
      <c r="R66" s="46"/>
      <c r="S66" s="110">
        <f>S11</f>
        <v>247834.75</v>
      </c>
      <c r="T66" s="46"/>
      <c r="U66" s="110">
        <f>U11</f>
        <v>1607562.9166666667</v>
      </c>
      <c r="W66" s="110">
        <f>W11</f>
        <v>315.75</v>
      </c>
      <c r="AA66" s="114"/>
      <c r="AB66" s="114"/>
      <c r="AC66" s="46"/>
      <c r="AD66" s="46"/>
      <c r="AE66" s="110">
        <f>AE11</f>
        <v>13</v>
      </c>
      <c r="AF66" s="46"/>
    </row>
    <row r="67" spans="3:32" x14ac:dyDescent="0.2">
      <c r="C67" s="2" t="s">
        <v>15</v>
      </c>
      <c r="D67" s="10"/>
      <c r="E67" s="3" t="s">
        <v>3</v>
      </c>
      <c r="F67" s="17"/>
      <c r="G67" s="82">
        <f>SUM(I67:AG67)</f>
        <v>392637692</v>
      </c>
      <c r="H67" s="17"/>
      <c r="I67" s="110">
        <f>I12</f>
        <v>31254669.100000001</v>
      </c>
      <c r="J67" s="8"/>
      <c r="K67" s="110">
        <f>K12</f>
        <v>26613522.739999998</v>
      </c>
      <c r="L67" s="8"/>
      <c r="M67" s="110">
        <f>M12</f>
        <v>8773969.5999999996</v>
      </c>
      <c r="N67" s="46"/>
      <c r="O67" s="110">
        <f>O12</f>
        <v>23385584.489999998</v>
      </c>
      <c r="P67" s="46"/>
      <c r="Q67" s="110">
        <f>Q12</f>
        <v>37389660.939999998</v>
      </c>
      <c r="R67" s="46"/>
      <c r="S67" s="110">
        <f>S12</f>
        <v>31054400.039999999</v>
      </c>
      <c r="T67" s="46"/>
      <c r="U67" s="110">
        <f>U12</f>
        <v>118248978.97</v>
      </c>
      <c r="W67" s="110">
        <f>W12</f>
        <v>114641215.02</v>
      </c>
      <c r="AA67" s="114"/>
      <c r="AB67" s="114"/>
      <c r="AC67" s="46"/>
      <c r="AD67" s="46"/>
      <c r="AE67" s="110">
        <f>AE12</f>
        <v>1275691.1000000001</v>
      </c>
      <c r="AF67" s="46"/>
    </row>
    <row r="68" spans="3:32" x14ac:dyDescent="0.2">
      <c r="C68" s="47" t="s">
        <v>16</v>
      </c>
      <c r="D68" s="10"/>
      <c r="E68" s="3"/>
      <c r="F68" s="17"/>
      <c r="G68" s="17"/>
      <c r="H68" s="17"/>
      <c r="I68" s="1"/>
      <c r="J68" s="4"/>
      <c r="K68" s="1"/>
      <c r="L68" s="4"/>
      <c r="M68" s="1"/>
      <c r="N68" s="1"/>
      <c r="O68" s="1"/>
      <c r="P68" s="1"/>
      <c r="Q68" s="1"/>
      <c r="R68" s="1"/>
      <c r="S68" s="1"/>
      <c r="T68" s="1"/>
      <c r="U68" s="1"/>
      <c r="W68" s="18"/>
      <c r="AA68" s="114"/>
      <c r="AB68" s="114"/>
      <c r="AC68" s="18"/>
      <c r="AD68" s="18"/>
      <c r="AE68" s="18"/>
      <c r="AF68" s="18"/>
    </row>
    <row r="69" spans="3:32" x14ac:dyDescent="0.2">
      <c r="C69" s="17"/>
      <c r="D69" s="17"/>
      <c r="E69" s="17"/>
      <c r="F69" s="17"/>
      <c r="G69" s="17"/>
      <c r="H69" s="17"/>
      <c r="I69" s="55"/>
      <c r="J69" s="17"/>
      <c r="K69" s="17"/>
      <c r="L69" s="17"/>
      <c r="M69" s="92"/>
      <c r="N69" s="90"/>
      <c r="O69" s="17"/>
      <c r="P69" s="90"/>
      <c r="Q69" s="17"/>
      <c r="R69" s="90"/>
      <c r="S69" s="17"/>
      <c r="T69" s="90"/>
      <c r="U69" s="17"/>
      <c r="AA69" s="114"/>
      <c r="AB69" s="114"/>
      <c r="AC69" s="45"/>
      <c r="AD69" s="45"/>
    </row>
    <row r="70" spans="3:32" x14ac:dyDescent="0.2">
      <c r="C70" s="2" t="s">
        <v>2</v>
      </c>
      <c r="D70" s="10"/>
      <c r="E70" s="14" t="s">
        <v>6</v>
      </c>
      <c r="F70" s="95"/>
      <c r="G70" s="99">
        <f>SUM(I70:AG70)</f>
        <v>1</v>
      </c>
      <c r="H70" s="17"/>
      <c r="I70" s="99">
        <f>1-SUM(K70:BF70)</f>
        <v>6.8500000000000005E-2</v>
      </c>
      <c r="J70" s="100"/>
      <c r="K70" s="99">
        <f>ROUND(K65/$G$65,4)</f>
        <v>5.5800000000000002E-2</v>
      </c>
      <c r="L70" s="100"/>
      <c r="M70" s="99">
        <f>ROUND(M65/$G$65,4)</f>
        <v>2.3699999999999999E-2</v>
      </c>
      <c r="N70" s="101"/>
      <c r="O70" s="99">
        <f>ROUND(O65/$G$65,4)</f>
        <v>5.9200000000000003E-2</v>
      </c>
      <c r="P70" s="101"/>
      <c r="Q70" s="99">
        <f>ROUND(Q65/$G$65,4)</f>
        <v>0.1066</v>
      </c>
      <c r="R70" s="101"/>
      <c r="S70" s="99">
        <f>ROUND(S65/$G$65,4)</f>
        <v>5.5199999999999999E-2</v>
      </c>
      <c r="T70" s="101"/>
      <c r="U70" s="99">
        <f>ROUND(U65/$G$65,4)</f>
        <v>0.38229999999999997</v>
      </c>
      <c r="W70" s="99">
        <f>ROUND(W65/$G$65,4)</f>
        <v>0.2465</v>
      </c>
      <c r="AA70" s="114"/>
      <c r="AB70" s="114"/>
      <c r="AC70" s="101"/>
      <c r="AD70" s="101"/>
      <c r="AE70" s="99">
        <f>ROUND(AE65/$G$65,4)</f>
        <v>2.2000000000000001E-3</v>
      </c>
      <c r="AF70" s="101"/>
    </row>
    <row r="71" spans="3:32" x14ac:dyDescent="0.2">
      <c r="C71" s="3" t="s">
        <v>4</v>
      </c>
      <c r="D71" s="10"/>
      <c r="E71" s="14" t="s">
        <v>6</v>
      </c>
      <c r="F71" s="95"/>
      <c r="G71" s="99">
        <f>SUM(I71:AG71)</f>
        <v>1</v>
      </c>
      <c r="H71" s="17"/>
      <c r="I71" s="99">
        <f>1-SUM(K71:BF71)</f>
        <v>9.6899999999999986E-2</v>
      </c>
      <c r="J71" s="100"/>
      <c r="K71" s="99">
        <f>ROUND(K66/$G$66,4)</f>
        <v>8.0699999999999994E-2</v>
      </c>
      <c r="L71" s="100"/>
      <c r="M71" s="99">
        <f>ROUND(M66/$G$66,4)</f>
        <v>2.41E-2</v>
      </c>
      <c r="N71" s="101"/>
      <c r="O71" s="99">
        <f>ROUND(O66/$G$66,4)</f>
        <v>8.8599999999999998E-2</v>
      </c>
      <c r="P71" s="101"/>
      <c r="Q71" s="99">
        <f>ROUND(Q66/$G$66,4)</f>
        <v>0.10929999999999999</v>
      </c>
      <c r="R71" s="101"/>
      <c r="S71" s="99">
        <f>ROUND(S66/$G$66,4)</f>
        <v>8.0199999999999994E-2</v>
      </c>
      <c r="T71" s="101"/>
      <c r="U71" s="99">
        <f>ROUND(U66/$G$66,4)</f>
        <v>0.52010000000000001</v>
      </c>
      <c r="W71" s="99">
        <f>ROUND(W66/$G$66,4)</f>
        <v>1E-4</v>
      </c>
      <c r="AA71" s="114"/>
      <c r="AB71" s="114"/>
      <c r="AC71" s="101"/>
      <c r="AD71" s="101"/>
      <c r="AE71" s="99">
        <f>ROUND(AE66/$G$66,4)</f>
        <v>0</v>
      </c>
      <c r="AF71" s="101"/>
    </row>
    <row r="72" spans="3:32" x14ac:dyDescent="0.2">
      <c r="C72" s="2" t="s">
        <v>7</v>
      </c>
      <c r="D72" s="10"/>
      <c r="E72" s="14" t="s">
        <v>6</v>
      </c>
      <c r="F72" s="95"/>
      <c r="G72" s="99">
        <f>SUM(I72:AG72)</f>
        <v>1.0000000000000002</v>
      </c>
      <c r="H72" s="17"/>
      <c r="I72" s="99">
        <f>1-SUM(K72:BF72)</f>
        <v>7.9600000000000004E-2</v>
      </c>
      <c r="J72" s="100"/>
      <c r="K72" s="99">
        <f>ROUND(K67/$G$67,4)</f>
        <v>6.7799999999999999E-2</v>
      </c>
      <c r="L72" s="100"/>
      <c r="M72" s="99">
        <f>ROUND(M67/$G$67,4)</f>
        <v>2.23E-2</v>
      </c>
      <c r="N72" s="101"/>
      <c r="O72" s="99">
        <f>ROUND(O67/$G$67,4)</f>
        <v>5.96E-2</v>
      </c>
      <c r="P72" s="101"/>
      <c r="Q72" s="99">
        <f>ROUND(Q67/$G$67,4)</f>
        <v>9.5200000000000007E-2</v>
      </c>
      <c r="R72" s="101"/>
      <c r="S72" s="99">
        <f>ROUND(S67/$G$67,4)</f>
        <v>7.9100000000000004E-2</v>
      </c>
      <c r="T72" s="101"/>
      <c r="U72" s="99">
        <f>ROUND(U67/$G$67,4)</f>
        <v>0.30120000000000002</v>
      </c>
      <c r="W72" s="99">
        <f>ROUND(W67/$G$67,4)</f>
        <v>0.29199999999999998</v>
      </c>
      <c r="AA72" s="114"/>
      <c r="AB72" s="114"/>
      <c r="AC72" s="101"/>
      <c r="AD72" s="101"/>
      <c r="AE72" s="99">
        <f>ROUND(AE67/$G$67,4)</f>
        <v>3.2000000000000002E-3</v>
      </c>
      <c r="AF72" s="101"/>
    </row>
    <row r="73" spans="3:32" x14ac:dyDescent="0.2">
      <c r="C73" s="51"/>
      <c r="D73" s="10"/>
      <c r="E73" s="14"/>
      <c r="F73" s="17"/>
      <c r="G73" s="91"/>
      <c r="H73" s="17"/>
      <c r="I73" s="100"/>
      <c r="J73" s="100"/>
      <c r="K73" s="100"/>
      <c r="L73" s="100"/>
      <c r="M73" s="100"/>
      <c r="N73" s="101"/>
      <c r="O73" s="100"/>
      <c r="P73" s="101"/>
      <c r="Q73" s="100"/>
      <c r="R73" s="101"/>
      <c r="S73" s="100"/>
      <c r="T73" s="101"/>
      <c r="U73" s="100"/>
      <c r="W73" s="88"/>
      <c r="AA73" s="114"/>
      <c r="AB73" s="114"/>
      <c r="AC73" s="88"/>
      <c r="AD73" s="88"/>
      <c r="AE73" s="88"/>
      <c r="AF73" s="88"/>
    </row>
    <row r="74" spans="3:32" x14ac:dyDescent="0.2">
      <c r="C74" s="119" t="str">
        <f>C19</f>
        <v>Total Composite Factor for FY 2017</v>
      </c>
      <c r="D74" s="10"/>
      <c r="E74" s="14" t="s">
        <v>6</v>
      </c>
      <c r="F74" s="17"/>
      <c r="G74" s="99">
        <f>SUM(I74:AG74)</f>
        <v>1</v>
      </c>
      <c r="H74" s="17"/>
      <c r="I74" s="233">
        <f>1-SUM(K74:BF74)</f>
        <v>8.1699999999999995E-2</v>
      </c>
      <c r="J74" s="234"/>
      <c r="K74" s="233">
        <f>ROUND(AVERAGE(K70:K72),4)</f>
        <v>6.8099999999999994E-2</v>
      </c>
      <c r="L74" s="234"/>
      <c r="M74" s="233">
        <f>ROUND(AVERAGE(M70:M72),4)</f>
        <v>2.3400000000000001E-2</v>
      </c>
      <c r="N74" s="235"/>
      <c r="O74" s="233">
        <f>ROUND(AVERAGE(O70:O72),4)</f>
        <v>6.9099999999999995E-2</v>
      </c>
      <c r="P74" s="235"/>
      <c r="Q74" s="233">
        <f>ROUND(AVERAGE(Q70:Q72),4)</f>
        <v>0.1037</v>
      </c>
      <c r="R74" s="235"/>
      <c r="S74" s="233">
        <f>ROUND(AVERAGE(S70:S72),4)</f>
        <v>7.1499999999999994E-2</v>
      </c>
      <c r="T74" s="235"/>
      <c r="U74" s="233">
        <f>ROUND(AVERAGE(U70:U72),4)</f>
        <v>0.4012</v>
      </c>
      <c r="V74" s="236"/>
      <c r="W74" s="233">
        <f>ROUND(AVERAGE(W70:W72),4)</f>
        <v>0.17949999999999999</v>
      </c>
      <c r="X74" s="237"/>
      <c r="Y74" s="238"/>
      <c r="Z74" s="239"/>
      <c r="AA74" s="240"/>
      <c r="AB74" s="240"/>
      <c r="AC74" s="235"/>
      <c r="AD74" s="235"/>
      <c r="AE74" s="233">
        <f>ROUND(AVERAGE(AE70:AE72),4)</f>
        <v>1.8E-3</v>
      </c>
      <c r="AF74" s="101"/>
    </row>
    <row r="75" spans="3:32" x14ac:dyDescent="0.2">
      <c r="C75" s="119"/>
      <c r="D75" s="10"/>
      <c r="E75" s="14"/>
      <c r="F75" s="17"/>
      <c r="G75" s="101"/>
      <c r="H75" s="17"/>
      <c r="I75" s="101"/>
      <c r="J75" s="100"/>
      <c r="K75" s="101"/>
      <c r="L75" s="100"/>
      <c r="M75" s="101"/>
      <c r="N75" s="101"/>
      <c r="O75" s="101"/>
      <c r="P75" s="101"/>
      <c r="Q75" s="101"/>
      <c r="R75" s="101"/>
      <c r="S75" s="101"/>
      <c r="T75" s="101"/>
      <c r="U75" s="101"/>
      <c r="V75" s="108"/>
      <c r="W75" s="101"/>
      <c r="AA75" s="114"/>
      <c r="AB75" s="114"/>
      <c r="AC75" s="101"/>
      <c r="AD75" s="101"/>
    </row>
    <row r="77" spans="3:32" ht="15.75" x14ac:dyDescent="0.25">
      <c r="I77" s="228" t="s">
        <v>145</v>
      </c>
      <c r="J77" s="229"/>
      <c r="K77" s="229" t="s">
        <v>146</v>
      </c>
      <c r="L77" s="229"/>
      <c r="M77" s="229" t="s">
        <v>147</v>
      </c>
      <c r="N77" s="229"/>
      <c r="O77" s="229" t="s">
        <v>147</v>
      </c>
      <c r="P77" s="229"/>
      <c r="Q77" s="229" t="s">
        <v>148</v>
      </c>
      <c r="R77" s="229"/>
      <c r="S77" s="230" t="s">
        <v>149</v>
      </c>
      <c r="T77" s="229"/>
      <c r="U77" s="230" t="s">
        <v>150</v>
      </c>
      <c r="V77" s="231"/>
      <c r="W77" s="232" t="s">
        <v>151</v>
      </c>
      <c r="X77" s="231"/>
      <c r="Y77" s="232"/>
      <c r="Z77" s="232"/>
      <c r="AA77" s="232"/>
      <c r="AB77" s="232"/>
      <c r="AC77" s="232"/>
      <c r="AD77" s="232"/>
      <c r="AE77" s="232" t="s">
        <v>152</v>
      </c>
    </row>
    <row r="78" spans="3:32" x14ac:dyDescent="0.2">
      <c r="C78" s="118" t="s">
        <v>94</v>
      </c>
      <c r="D78" s="10"/>
      <c r="E78" s="14"/>
      <c r="F78" s="14"/>
      <c r="G78" s="15"/>
      <c r="H78" s="15"/>
      <c r="I78" s="5"/>
      <c r="N78" s="5"/>
      <c r="P78" s="5"/>
      <c r="R78" s="5"/>
      <c r="T78" s="15"/>
      <c r="U78" s="14"/>
    </row>
    <row r="79" spans="3:32" x14ac:dyDescent="0.2">
      <c r="C79" s="17"/>
      <c r="D79" s="17"/>
      <c r="E79" s="17"/>
      <c r="F79" s="17"/>
      <c r="G79" s="17"/>
      <c r="H79" s="17"/>
      <c r="I79" s="55"/>
      <c r="J79" s="17"/>
      <c r="K79" s="17"/>
      <c r="L79" s="17"/>
      <c r="M79" s="92"/>
      <c r="N79" s="90"/>
      <c r="O79" s="17"/>
      <c r="P79" s="90"/>
      <c r="Q79" s="17"/>
      <c r="R79" s="90"/>
      <c r="S79" s="17"/>
      <c r="T79" s="90"/>
      <c r="U79" s="17"/>
    </row>
    <row r="80" spans="3:32" x14ac:dyDescent="0.2">
      <c r="C80" s="2" t="s">
        <v>2</v>
      </c>
      <c r="D80" s="10"/>
      <c r="E80" s="3" t="s">
        <v>3</v>
      </c>
      <c r="F80" s="17"/>
      <c r="G80" s="82">
        <f>SUM(I80:AG80)</f>
        <v>1865993850.8700001</v>
      </c>
      <c r="H80" s="17"/>
      <c r="I80" s="110">
        <f>I10</f>
        <v>712017562.00999999</v>
      </c>
      <c r="J80" s="8"/>
      <c r="K80" s="110">
        <f>K10</f>
        <v>580194446.90999997</v>
      </c>
      <c r="L80" s="8"/>
      <c r="M80" s="110"/>
      <c r="N80" s="8"/>
      <c r="O80" s="110"/>
      <c r="P80" s="8"/>
      <c r="Q80" s="110"/>
      <c r="R80" s="8"/>
      <c r="S80" s="110">
        <f>S10</f>
        <v>573781841.95000005</v>
      </c>
      <c r="T80" s="8"/>
      <c r="U80" s="110"/>
      <c r="V80" s="8"/>
      <c r="W80" s="110"/>
    </row>
    <row r="81" spans="3:23" x14ac:dyDescent="0.2">
      <c r="C81" s="3" t="s">
        <v>4</v>
      </c>
      <c r="D81" s="10"/>
      <c r="E81" s="3" t="s">
        <v>5</v>
      </c>
      <c r="F81" s="17"/>
      <c r="G81" s="82">
        <f>SUM(I81:AG81)</f>
        <v>796999.58333333326</v>
      </c>
      <c r="H81" s="17"/>
      <c r="I81" s="110">
        <f>I11</f>
        <v>299655.58333333331</v>
      </c>
      <c r="J81" s="8"/>
      <c r="K81" s="110">
        <f>K11</f>
        <v>249509.25</v>
      </c>
      <c r="L81" s="8"/>
      <c r="M81" s="110"/>
      <c r="N81" s="8"/>
      <c r="O81" s="110"/>
      <c r="P81" s="8"/>
      <c r="Q81" s="110"/>
      <c r="R81" s="8"/>
      <c r="S81" s="110">
        <f>S11</f>
        <v>247834.75</v>
      </c>
      <c r="T81" s="8"/>
      <c r="U81" s="110"/>
      <c r="V81" s="8"/>
      <c r="W81" s="110"/>
    </row>
    <row r="82" spans="3:23" x14ac:dyDescent="0.2">
      <c r="C82" s="2" t="s">
        <v>15</v>
      </c>
      <c r="D82" s="10"/>
      <c r="E82" s="3" t="s">
        <v>3</v>
      </c>
      <c r="F82" s="17"/>
      <c r="G82" s="82">
        <f>SUM(I82:AG82)</f>
        <v>88922591.879999995</v>
      </c>
      <c r="H82" s="17"/>
      <c r="I82" s="110">
        <f>I12</f>
        <v>31254669.100000001</v>
      </c>
      <c r="J82" s="8"/>
      <c r="K82" s="110">
        <f>K12</f>
        <v>26613522.739999998</v>
      </c>
      <c r="L82" s="8"/>
      <c r="M82" s="110"/>
      <c r="N82" s="8"/>
      <c r="O82" s="110"/>
      <c r="P82" s="8"/>
      <c r="Q82" s="110"/>
      <c r="R82" s="8"/>
      <c r="S82" s="110">
        <f>S12</f>
        <v>31054400.039999999</v>
      </c>
      <c r="T82" s="8"/>
      <c r="U82" s="110"/>
      <c r="V82" s="8"/>
      <c r="W82" s="110"/>
    </row>
    <row r="83" spans="3:23" x14ac:dyDescent="0.2">
      <c r="C83" s="47" t="s">
        <v>16</v>
      </c>
      <c r="D83" s="10"/>
      <c r="E83" s="3"/>
      <c r="F83" s="17"/>
      <c r="G83" s="17"/>
      <c r="H83" s="17"/>
      <c r="I83" s="1"/>
      <c r="J83" s="4"/>
      <c r="K83" s="1"/>
      <c r="L83" s="4"/>
      <c r="M83" s="1"/>
      <c r="N83" s="1"/>
      <c r="O83" s="1"/>
      <c r="P83" s="1"/>
      <c r="Q83" s="1"/>
      <c r="R83" s="1"/>
      <c r="S83" s="1"/>
      <c r="T83" s="1"/>
      <c r="U83" s="1"/>
      <c r="W83" s="18"/>
    </row>
    <row r="84" spans="3:23" x14ac:dyDescent="0.2">
      <c r="C84" s="17"/>
      <c r="D84" s="17"/>
      <c r="E84" s="17"/>
      <c r="F84" s="17"/>
      <c r="G84" s="17"/>
      <c r="H84" s="17"/>
      <c r="I84" s="55"/>
      <c r="J84" s="17"/>
      <c r="K84" s="17"/>
      <c r="L84" s="17"/>
      <c r="M84" s="92"/>
      <c r="N84" s="90"/>
      <c r="O84" s="17"/>
      <c r="P84" s="90"/>
      <c r="Q84" s="17"/>
      <c r="R84" s="90"/>
      <c r="S84" s="17"/>
      <c r="T84" s="90"/>
      <c r="U84" s="17"/>
    </row>
    <row r="85" spans="3:23" x14ac:dyDescent="0.2">
      <c r="C85" s="2" t="s">
        <v>2</v>
      </c>
      <c r="D85" s="10"/>
      <c r="E85" s="14" t="s">
        <v>6</v>
      </c>
      <c r="F85" s="95"/>
      <c r="G85" s="99">
        <f>SUM(I85:AG85)</f>
        <v>0.99999999999999989</v>
      </c>
      <c r="H85" s="17"/>
      <c r="I85" s="99">
        <f>1-SUM(K85:BF85)</f>
        <v>0.38159999999999994</v>
      </c>
      <c r="J85" s="100"/>
      <c r="K85" s="99">
        <f>ROUND(K80/$G$80,4)</f>
        <v>0.31090000000000001</v>
      </c>
      <c r="L85" s="100"/>
      <c r="M85" s="99"/>
      <c r="N85" s="101"/>
      <c r="O85" s="99"/>
      <c r="P85" s="101"/>
      <c r="Q85" s="99"/>
      <c r="R85" s="101"/>
      <c r="S85" s="99">
        <f>ROUND(S80/$G$80,4)</f>
        <v>0.3075</v>
      </c>
      <c r="T85" s="101"/>
      <c r="U85" s="99"/>
      <c r="W85" s="99"/>
    </row>
    <row r="86" spans="3:23" x14ac:dyDescent="0.2">
      <c r="C86" s="3" t="s">
        <v>4</v>
      </c>
      <c r="D86" s="10"/>
      <c r="E86" s="14" t="s">
        <v>6</v>
      </c>
      <c r="F86" s="95"/>
      <c r="G86" s="99">
        <f>SUM(I86:AG86)</f>
        <v>1</v>
      </c>
      <c r="H86" s="17"/>
      <c r="I86" s="99">
        <f>1-SUM(K86:BF86)</f>
        <v>0.37590000000000001</v>
      </c>
      <c r="J86" s="100"/>
      <c r="K86" s="99">
        <f>ROUND(K81/$G$81,4)</f>
        <v>0.31309999999999999</v>
      </c>
      <c r="L86" s="100"/>
      <c r="M86" s="99"/>
      <c r="N86" s="101"/>
      <c r="O86" s="99"/>
      <c r="P86" s="101"/>
      <c r="Q86" s="99"/>
      <c r="R86" s="101"/>
      <c r="S86" s="99">
        <f>ROUND(S81/$G$81,4)</f>
        <v>0.311</v>
      </c>
      <c r="T86" s="101"/>
      <c r="U86" s="99"/>
      <c r="W86" s="99"/>
    </row>
    <row r="87" spans="3:23" x14ac:dyDescent="0.2">
      <c r="C87" s="2" t="s">
        <v>7</v>
      </c>
      <c r="D87" s="10"/>
      <c r="E87" s="14" t="s">
        <v>6</v>
      </c>
      <c r="F87" s="95"/>
      <c r="G87" s="99">
        <f>SUM(I87:AG87)</f>
        <v>1</v>
      </c>
      <c r="H87" s="17"/>
      <c r="I87" s="99">
        <f>1-SUM(K87:BF87)</f>
        <v>0.35149999999999992</v>
      </c>
      <c r="J87" s="100"/>
      <c r="K87" s="99">
        <f>ROUND(K82/$G$82,4)</f>
        <v>0.29930000000000001</v>
      </c>
      <c r="L87" s="100"/>
      <c r="M87" s="99"/>
      <c r="N87" s="101"/>
      <c r="O87" s="99"/>
      <c r="P87" s="101"/>
      <c r="Q87" s="99"/>
      <c r="R87" s="101"/>
      <c r="S87" s="99">
        <f>ROUND(S82/$G$82,4)</f>
        <v>0.34920000000000001</v>
      </c>
      <c r="T87" s="101"/>
      <c r="U87" s="99"/>
      <c r="W87" s="99"/>
    </row>
    <row r="88" spans="3:23" x14ac:dyDescent="0.2">
      <c r="C88" s="51"/>
      <c r="D88" s="10"/>
      <c r="E88" s="14"/>
      <c r="F88" s="17"/>
      <c r="G88" s="91"/>
      <c r="H88" s="17"/>
      <c r="I88" s="100"/>
      <c r="J88" s="100"/>
      <c r="K88" s="100"/>
      <c r="L88" s="100"/>
      <c r="M88" s="100"/>
      <c r="N88" s="101"/>
      <c r="O88" s="100"/>
      <c r="P88" s="101"/>
      <c r="Q88" s="100"/>
      <c r="R88" s="101"/>
      <c r="S88" s="100"/>
      <c r="T88" s="101"/>
      <c r="U88" s="100"/>
      <c r="W88" s="88"/>
    </row>
    <row r="89" spans="3:23" x14ac:dyDescent="0.2">
      <c r="C89" s="119" t="str">
        <f>C19</f>
        <v>Total Composite Factor for FY 2017</v>
      </c>
      <c r="D89" s="10"/>
      <c r="E89" s="14" t="s">
        <v>6</v>
      </c>
      <c r="F89" s="17"/>
      <c r="G89" s="99">
        <f>SUM(I89:AG89)</f>
        <v>1</v>
      </c>
      <c r="H89" s="17"/>
      <c r="I89" s="233">
        <f>1-SUM(K89:BF89)</f>
        <v>0.36959999999999993</v>
      </c>
      <c r="J89" s="234"/>
      <c r="K89" s="233">
        <f>ROUND(AVERAGE(K85:K87),4)</f>
        <v>0.30780000000000002</v>
      </c>
      <c r="L89" s="234"/>
      <c r="M89" s="233"/>
      <c r="N89" s="235"/>
      <c r="O89" s="233"/>
      <c r="P89" s="235"/>
      <c r="Q89" s="233"/>
      <c r="R89" s="235"/>
      <c r="S89" s="233">
        <f>ROUND(AVERAGE(S85:S87),4)</f>
        <v>0.3226</v>
      </c>
      <c r="T89" s="101"/>
      <c r="U89" s="99"/>
      <c r="V89" s="108"/>
      <c r="W89" s="99"/>
    </row>
    <row r="90" spans="3:23" ht="15.75" x14ac:dyDescent="0.25">
      <c r="I90" s="228" t="s">
        <v>153</v>
      </c>
      <c r="J90" s="229"/>
      <c r="K90" s="229" t="s">
        <v>154</v>
      </c>
      <c r="L90" s="229"/>
      <c r="M90" s="229"/>
      <c r="N90" s="229"/>
      <c r="O90" s="229"/>
      <c r="P90" s="229"/>
      <c r="Q90" s="229"/>
      <c r="R90" s="229"/>
      <c r="S90" s="230" t="s">
        <v>155</v>
      </c>
    </row>
    <row r="92" spans="3:23" x14ac:dyDescent="0.2">
      <c r="C92" s="96" t="s">
        <v>95</v>
      </c>
      <c r="D92" s="10"/>
      <c r="E92" s="14"/>
      <c r="F92" s="14"/>
      <c r="G92" s="15"/>
      <c r="H92" s="15"/>
      <c r="I92" s="53"/>
      <c r="J92" s="15"/>
      <c r="K92" s="15"/>
      <c r="L92" s="15"/>
      <c r="P92" s="15"/>
      <c r="Q92" s="15"/>
      <c r="R92" s="15"/>
      <c r="S92" s="14"/>
      <c r="T92" s="15"/>
      <c r="U92" s="14"/>
    </row>
    <row r="93" spans="3:23" x14ac:dyDescent="0.2">
      <c r="C93" s="17"/>
      <c r="D93" s="17"/>
      <c r="E93" s="17"/>
      <c r="F93" s="17"/>
      <c r="G93" s="17"/>
      <c r="H93" s="17"/>
      <c r="I93" s="55"/>
      <c r="J93" s="17"/>
      <c r="K93" s="17"/>
      <c r="L93" s="17"/>
      <c r="M93" s="92"/>
      <c r="N93" s="90"/>
      <c r="O93" s="17"/>
      <c r="P93" s="90"/>
      <c r="Q93" s="17"/>
      <c r="R93" s="90"/>
      <c r="S93" s="17"/>
      <c r="T93" s="90"/>
      <c r="U93" s="17"/>
    </row>
    <row r="94" spans="3:23" x14ac:dyDescent="0.2">
      <c r="C94" s="2" t="s">
        <v>2</v>
      </c>
      <c r="D94" s="10"/>
      <c r="E94" s="3" t="s">
        <v>3</v>
      </c>
      <c r="F94" s="17"/>
      <c r="G94" s="82">
        <f>SUM(I94:AG94)</f>
        <v>862690060.1500001</v>
      </c>
      <c r="H94" s="17"/>
      <c r="I94" s="110"/>
      <c r="J94" s="8"/>
      <c r="K94" s="110"/>
      <c r="L94" s="8"/>
      <c r="M94" s="110">
        <f>M10</f>
        <v>246846679.05000001</v>
      </c>
      <c r="N94" s="8"/>
      <c r="O94" s="110">
        <f>O10</f>
        <v>615843381.10000002</v>
      </c>
      <c r="P94" s="8"/>
      <c r="Q94" s="110"/>
      <c r="R94" s="8"/>
      <c r="S94" s="110"/>
      <c r="T94" s="8"/>
      <c r="U94" s="110"/>
      <c r="V94" s="8"/>
      <c r="W94" s="110"/>
    </row>
    <row r="95" spans="3:23" x14ac:dyDescent="0.2">
      <c r="C95" s="3" t="s">
        <v>4</v>
      </c>
      <c r="D95" s="10"/>
      <c r="E95" s="3" t="s">
        <v>5</v>
      </c>
      <c r="F95" s="17"/>
      <c r="G95" s="82">
        <f>SUM(I95:AG95)</f>
        <v>348357.33333333337</v>
      </c>
      <c r="H95" s="17"/>
      <c r="I95" s="110"/>
      <c r="J95" s="8"/>
      <c r="K95" s="110"/>
      <c r="L95" s="8"/>
      <c r="M95" s="110">
        <f>M11</f>
        <v>74383.416666666672</v>
      </c>
      <c r="N95" s="8"/>
      <c r="O95" s="110">
        <f>O11</f>
        <v>273973.91666666669</v>
      </c>
      <c r="P95" s="8"/>
      <c r="Q95" s="110"/>
      <c r="R95" s="8"/>
      <c r="S95" s="110"/>
      <c r="T95" s="8"/>
      <c r="U95" s="110"/>
      <c r="V95" s="8"/>
      <c r="W95" s="110"/>
    </row>
    <row r="96" spans="3:23" x14ac:dyDescent="0.2">
      <c r="C96" s="2" t="s">
        <v>15</v>
      </c>
      <c r="D96" s="10"/>
      <c r="E96" s="3" t="s">
        <v>3</v>
      </c>
      <c r="F96" s="17"/>
      <c r="G96" s="82">
        <f>SUM(I96:AG96)</f>
        <v>32159554.089999996</v>
      </c>
      <c r="H96" s="17"/>
      <c r="I96" s="110"/>
      <c r="J96" s="8"/>
      <c r="K96" s="110"/>
      <c r="L96" s="8"/>
      <c r="M96" s="110">
        <f>M12</f>
        <v>8773969.5999999996</v>
      </c>
      <c r="N96" s="8"/>
      <c r="O96" s="110">
        <f>O12</f>
        <v>23385584.489999998</v>
      </c>
      <c r="P96" s="8"/>
      <c r="Q96" s="110"/>
      <c r="R96" s="8"/>
      <c r="S96" s="110"/>
      <c r="T96" s="8"/>
      <c r="U96" s="110"/>
      <c r="V96" s="8"/>
      <c r="W96" s="110"/>
    </row>
    <row r="97" spans="1:56" x14ac:dyDescent="0.2">
      <c r="C97" s="47" t="s">
        <v>16</v>
      </c>
      <c r="D97" s="10"/>
      <c r="E97" s="3"/>
      <c r="F97" s="17"/>
      <c r="G97" s="17"/>
      <c r="H97" s="17"/>
      <c r="I97" s="1"/>
      <c r="J97" s="4"/>
      <c r="K97" s="1"/>
      <c r="L97" s="4"/>
      <c r="M97" s="1"/>
      <c r="N97" s="1"/>
      <c r="O97" s="1"/>
      <c r="P97" s="1"/>
      <c r="Q97" s="1"/>
      <c r="R97" s="1"/>
      <c r="S97" s="1"/>
      <c r="T97" s="1"/>
      <c r="U97" s="1"/>
      <c r="W97" s="18"/>
    </row>
    <row r="98" spans="1:56" x14ac:dyDescent="0.2">
      <c r="C98" s="17"/>
      <c r="D98" s="17"/>
      <c r="E98" s="17"/>
      <c r="F98" s="17"/>
      <c r="G98" s="17"/>
      <c r="H98" s="17"/>
      <c r="I98" s="55"/>
      <c r="J98" s="17"/>
      <c r="K98" s="17"/>
      <c r="L98" s="17"/>
      <c r="M98" s="92"/>
      <c r="N98" s="90"/>
      <c r="O98" s="17"/>
      <c r="P98" s="90"/>
      <c r="Q98" s="17"/>
      <c r="R98" s="90"/>
      <c r="S98" s="17"/>
      <c r="T98" s="90"/>
      <c r="U98" s="17"/>
    </row>
    <row r="99" spans="1:56" x14ac:dyDescent="0.2">
      <c r="C99" s="2" t="s">
        <v>2</v>
      </c>
      <c r="D99" s="10"/>
      <c r="E99" s="14" t="s">
        <v>6</v>
      </c>
      <c r="F99" s="95"/>
      <c r="G99" s="99">
        <f>SUM(I99:AG99)</f>
        <v>1</v>
      </c>
      <c r="H99" s="17"/>
      <c r="I99" s="99">
        <f>ROUND(I94/$G$65,4)</f>
        <v>0</v>
      </c>
      <c r="J99" s="100"/>
      <c r="K99" s="99">
        <f>ROUND(K94/$G$80,4)</f>
        <v>0</v>
      </c>
      <c r="L99" s="100"/>
      <c r="M99" s="99">
        <f>ROUND(M94/$G$94,4)</f>
        <v>0.28610000000000002</v>
      </c>
      <c r="N99" s="101"/>
      <c r="O99" s="99">
        <f>ROUND(O94/$G$94,4)</f>
        <v>0.71389999999999998</v>
      </c>
      <c r="P99" s="101"/>
      <c r="Q99" s="99">
        <f>ROUND(Q94/$G$65,4)</f>
        <v>0</v>
      </c>
      <c r="R99" s="101"/>
      <c r="S99" s="99">
        <f>ROUND(S94/$G$80,4)</f>
        <v>0</v>
      </c>
      <c r="T99" s="101"/>
      <c r="U99" s="99">
        <f>ROUND(U94/$G$65,4)</f>
        <v>0</v>
      </c>
      <c r="W99" s="99">
        <f>ROUND(W94/$G$65,4)</f>
        <v>0</v>
      </c>
    </row>
    <row r="100" spans="1:56" x14ac:dyDescent="0.2">
      <c r="C100" s="3" t="s">
        <v>4</v>
      </c>
      <c r="D100" s="10"/>
      <c r="E100" s="14" t="s">
        <v>6</v>
      </c>
      <c r="F100" s="95"/>
      <c r="G100" s="99">
        <f>SUM(I100:AG100)</f>
        <v>1</v>
      </c>
      <c r="H100" s="17"/>
      <c r="I100" s="99">
        <f>ROUND(I95/$G$66,4)</f>
        <v>0</v>
      </c>
      <c r="J100" s="100"/>
      <c r="K100" s="99">
        <f>ROUND(K95/$G$81,4)</f>
        <v>0</v>
      </c>
      <c r="L100" s="100"/>
      <c r="M100" s="216">
        <f>ROUND(M95/$G$95,4)</f>
        <v>0.2135</v>
      </c>
      <c r="N100" s="217"/>
      <c r="O100" s="216">
        <f>ROUND(O95/$G$95,4)</f>
        <v>0.78649999999999998</v>
      </c>
      <c r="P100" s="101"/>
      <c r="Q100" s="99">
        <f>ROUND(Q95/$G$66,4)</f>
        <v>0</v>
      </c>
      <c r="R100" s="101"/>
      <c r="S100" s="99">
        <f>ROUND(S95/$G$81,4)</f>
        <v>0</v>
      </c>
      <c r="T100" s="101"/>
      <c r="U100" s="99">
        <f>ROUND(U95/$G$66,4)</f>
        <v>0</v>
      </c>
      <c r="W100" s="99">
        <f>ROUND(W95/$G$66,4)</f>
        <v>0</v>
      </c>
    </row>
    <row r="101" spans="1:56" x14ac:dyDescent="0.2">
      <c r="C101" s="2" t="s">
        <v>7</v>
      </c>
      <c r="D101" s="10"/>
      <c r="E101" s="14" t="s">
        <v>6</v>
      </c>
      <c r="F101" s="95"/>
      <c r="G101" s="99">
        <f>SUM(I101:AG101)</f>
        <v>1</v>
      </c>
      <c r="H101" s="17"/>
      <c r="I101" s="99">
        <f>ROUND(I96/$G$67,4)</f>
        <v>0</v>
      </c>
      <c r="J101" s="100"/>
      <c r="K101" s="99">
        <f>ROUND(K96/$G$82,4)</f>
        <v>0</v>
      </c>
      <c r="L101" s="100"/>
      <c r="M101" s="99">
        <f>ROUND(M96/$G$96,4)</f>
        <v>0.27279999999999999</v>
      </c>
      <c r="N101" s="101"/>
      <c r="O101" s="99">
        <f>ROUND(O96/$G$96,4)</f>
        <v>0.72719999999999996</v>
      </c>
      <c r="P101" s="101"/>
      <c r="Q101" s="99">
        <f>ROUND(Q96/$G$67,4)</f>
        <v>0</v>
      </c>
      <c r="R101" s="101"/>
      <c r="S101" s="99">
        <f>ROUND(S96/$G$82,4)</f>
        <v>0</v>
      </c>
      <c r="T101" s="101"/>
      <c r="U101" s="99">
        <f>ROUND(U96/$G$67,4)</f>
        <v>0</v>
      </c>
      <c r="W101" s="99">
        <f>ROUND(W96/$G$67,4)</f>
        <v>0</v>
      </c>
    </row>
    <row r="102" spans="1:56" x14ac:dyDescent="0.2">
      <c r="C102" s="51"/>
      <c r="D102" s="10"/>
      <c r="E102" s="14"/>
      <c r="F102" s="17"/>
      <c r="G102" s="91"/>
      <c r="H102" s="17"/>
      <c r="I102" s="100"/>
      <c r="J102" s="100"/>
      <c r="K102" s="100"/>
      <c r="L102" s="100"/>
      <c r="M102" s="100"/>
      <c r="N102" s="101"/>
      <c r="O102" s="100"/>
      <c r="P102" s="101"/>
      <c r="Q102" s="100"/>
      <c r="R102" s="101"/>
      <c r="S102" s="100"/>
      <c r="T102" s="101"/>
      <c r="U102" s="100"/>
      <c r="W102" s="88"/>
    </row>
    <row r="103" spans="1:56" x14ac:dyDescent="0.2">
      <c r="C103" s="119" t="str">
        <f>C19</f>
        <v>Total Composite Factor for FY 2017</v>
      </c>
      <c r="D103" s="10"/>
      <c r="E103" s="14" t="s">
        <v>6</v>
      </c>
      <c r="F103" s="17"/>
      <c r="G103" s="99">
        <f>SUM(I103:AG103)</f>
        <v>1</v>
      </c>
      <c r="H103" s="17"/>
      <c r="I103" s="99">
        <f>ROUND(AVERAGE(I99:I101),4)</f>
        <v>0</v>
      </c>
      <c r="J103" s="100"/>
      <c r="K103" s="99">
        <f>ROUND(AVERAGE(K99:K101),4)</f>
        <v>0</v>
      </c>
      <c r="L103" s="100"/>
      <c r="M103" s="211">
        <f>ROUND(AVERAGE(M99:M101),4)</f>
        <v>0.25750000000000001</v>
      </c>
      <c r="N103" s="213"/>
      <c r="O103" s="211">
        <f>ROUND(AVERAGE(O99:O101),4)</f>
        <v>0.74250000000000005</v>
      </c>
      <c r="P103" s="101"/>
      <c r="Q103" s="99">
        <f>ROUND(AVERAGE(Q99:Q101),4)</f>
        <v>0</v>
      </c>
      <c r="R103" s="101"/>
      <c r="S103" s="99">
        <f>ROUND(AVERAGE(S99:S101),4)</f>
        <v>0</v>
      </c>
      <c r="T103" s="101"/>
      <c r="U103" s="99">
        <f>ROUND(AVERAGE(U99:U101),4)</f>
        <v>0</v>
      </c>
      <c r="V103" s="108"/>
      <c r="W103" s="99">
        <f>ROUND(AVERAGE(W99:W101),4)</f>
        <v>0</v>
      </c>
    </row>
    <row r="105" spans="1:56" ht="15.75" x14ac:dyDescent="0.25">
      <c r="G105" s="147" t="s">
        <v>187</v>
      </c>
      <c r="M105" s="214" t="s">
        <v>194</v>
      </c>
      <c r="N105" s="215"/>
      <c r="O105" s="214" t="s">
        <v>195</v>
      </c>
    </row>
    <row r="106" spans="1:56" ht="15.75" x14ac:dyDescent="0.25">
      <c r="G106" s="147"/>
      <c r="M106" s="209" t="s">
        <v>156</v>
      </c>
      <c r="N106" s="209"/>
      <c r="O106" s="209" t="s">
        <v>157</v>
      </c>
    </row>
    <row r="107" spans="1:56" ht="15.75" x14ac:dyDescent="0.25">
      <c r="G107" s="147"/>
      <c r="M107" s="147"/>
      <c r="N107" s="148"/>
      <c r="O107" s="147"/>
    </row>
    <row r="108" spans="1:56" ht="15.75" x14ac:dyDescent="0.25">
      <c r="G108" s="147"/>
      <c r="M108" s="147"/>
      <c r="N108" s="148"/>
      <c r="O108" s="147"/>
    </row>
    <row r="109" spans="1:56" s="14" customFormat="1" ht="15.75" x14ac:dyDescent="0.25">
      <c r="A109" s="19"/>
      <c r="C109" s="96" t="s">
        <v>97</v>
      </c>
      <c r="D109" s="10"/>
      <c r="G109" s="15"/>
      <c r="H109" s="15"/>
      <c r="T109" s="149"/>
      <c r="U109" s="150"/>
      <c r="V109" s="16"/>
      <c r="W109" s="16"/>
      <c r="X109" s="15"/>
      <c r="Y109" s="15"/>
      <c r="Z109" s="16"/>
      <c r="AA109" s="15"/>
      <c r="AB109" s="15"/>
      <c r="AC109" s="15"/>
      <c r="AD109" s="15"/>
      <c r="AG109" s="16"/>
      <c r="AH109" s="16"/>
      <c r="AI109" s="15"/>
      <c r="AJ109" s="15"/>
      <c r="AK109" s="15"/>
      <c r="AL109" s="15"/>
      <c r="AM109" s="411"/>
      <c r="AU109" s="427"/>
      <c r="BD109" s="427"/>
    </row>
    <row r="110" spans="1:56" s="17" customFormat="1" x14ac:dyDescent="0.2">
      <c r="A110" s="54"/>
      <c r="I110" s="55"/>
      <c r="M110" s="92"/>
      <c r="N110" s="90"/>
      <c r="P110" s="90"/>
      <c r="R110" s="90"/>
      <c r="T110" s="90"/>
      <c r="V110" s="90"/>
      <c r="X110" s="90"/>
      <c r="Z110" s="36"/>
      <c r="AA110" s="36"/>
      <c r="AB110" s="36"/>
      <c r="AG110" s="36"/>
      <c r="AH110" s="36"/>
      <c r="AM110" s="412"/>
      <c r="AU110" s="412"/>
      <c r="BD110" s="412"/>
    </row>
    <row r="111" spans="1:56" s="17" customFormat="1" x14ac:dyDescent="0.2">
      <c r="A111" s="54"/>
      <c r="C111" s="2" t="s">
        <v>2</v>
      </c>
      <c r="D111" s="10"/>
      <c r="E111" s="3" t="s">
        <v>3</v>
      </c>
      <c r="G111" s="82">
        <f>SUM(I111:AG111)</f>
        <v>3837643024.1500006</v>
      </c>
      <c r="I111" s="110">
        <f>I10</f>
        <v>712017562.00999999</v>
      </c>
      <c r="J111" s="8"/>
      <c r="K111" s="110">
        <f>K10</f>
        <v>580194446.90999997</v>
      </c>
      <c r="L111" s="8"/>
      <c r="M111" s="110">
        <f>M10</f>
        <v>246846679.05000001</v>
      </c>
      <c r="N111" s="46"/>
      <c r="O111" s="110">
        <f>O10</f>
        <v>615843381.10000002</v>
      </c>
      <c r="P111" s="46"/>
      <c r="Q111" s="110">
        <f>Q10</f>
        <v>1108959113.1300001</v>
      </c>
      <c r="R111" s="46"/>
      <c r="S111" s="110">
        <f>S10</f>
        <v>573781841.95000005</v>
      </c>
      <c r="T111" s="46"/>
      <c r="U111" s="110"/>
      <c r="V111" s="1"/>
      <c r="W111" s="1"/>
      <c r="X111" s="90"/>
      <c r="Z111" s="36"/>
      <c r="AA111" s="36"/>
      <c r="AB111" s="36"/>
      <c r="AG111" s="36"/>
      <c r="AH111" s="36"/>
      <c r="AM111" s="412"/>
      <c r="AU111" s="412"/>
      <c r="BD111" s="412"/>
    </row>
    <row r="112" spans="1:56" s="17" customFormat="1" x14ac:dyDescent="0.2">
      <c r="A112" s="54"/>
      <c r="C112" s="3" t="s">
        <v>4</v>
      </c>
      <c r="D112" s="10"/>
      <c r="E112" s="3" t="s">
        <v>5</v>
      </c>
      <c r="G112" s="83">
        <f>SUM(I112:AG112)</f>
        <v>1483226.4166666665</v>
      </c>
      <c r="I112" s="110">
        <f>+I11</f>
        <v>299655.58333333331</v>
      </c>
      <c r="J112" s="8"/>
      <c r="K112" s="110">
        <f>K11</f>
        <v>249509.25</v>
      </c>
      <c r="L112" s="8"/>
      <c r="M112" s="110">
        <f>M11</f>
        <v>74383.416666666672</v>
      </c>
      <c r="N112" s="46"/>
      <c r="O112" s="110">
        <f>O11</f>
        <v>273973.91666666669</v>
      </c>
      <c r="P112" s="46"/>
      <c r="Q112" s="110">
        <f>Q11</f>
        <v>337869.5</v>
      </c>
      <c r="R112" s="46"/>
      <c r="S112" s="110">
        <f>S11</f>
        <v>247834.75</v>
      </c>
      <c r="T112" s="46"/>
      <c r="U112" s="110"/>
      <c r="V112" s="1"/>
      <c r="W112" s="1"/>
      <c r="X112" s="90"/>
      <c r="Z112" s="36"/>
      <c r="AA112" s="36"/>
      <c r="AB112" s="36"/>
      <c r="AG112" s="36"/>
      <c r="AH112" s="36"/>
      <c r="AM112" s="412"/>
      <c r="AU112" s="412"/>
      <c r="BD112" s="412"/>
    </row>
    <row r="113" spans="1:56" s="17" customFormat="1" x14ac:dyDescent="0.2">
      <c r="A113" s="54"/>
      <c r="C113" s="2" t="s">
        <v>15</v>
      </c>
      <c r="D113" s="10"/>
      <c r="E113" s="3" t="s">
        <v>3</v>
      </c>
      <c r="G113" s="82">
        <f>SUM(I113:AG113)</f>
        <v>158471806.91</v>
      </c>
      <c r="I113" s="110">
        <f>+I12</f>
        <v>31254669.100000001</v>
      </c>
      <c r="J113" s="8"/>
      <c r="K113" s="110">
        <f>K12</f>
        <v>26613522.739999998</v>
      </c>
      <c r="L113" s="8"/>
      <c r="M113" s="110">
        <f>M12</f>
        <v>8773969.5999999996</v>
      </c>
      <c r="N113" s="46"/>
      <c r="O113" s="110">
        <f>O12</f>
        <v>23385584.489999998</v>
      </c>
      <c r="P113" s="46"/>
      <c r="Q113" s="110">
        <f>Q12</f>
        <v>37389660.939999998</v>
      </c>
      <c r="R113" s="46"/>
      <c r="S113" s="110">
        <f>S12</f>
        <v>31054400.039999999</v>
      </c>
      <c r="T113" s="46"/>
      <c r="U113" s="110"/>
      <c r="V113" s="1"/>
      <c r="W113" s="1"/>
      <c r="X113" s="90"/>
      <c r="Z113" s="36"/>
      <c r="AA113" s="36"/>
      <c r="AB113" s="36"/>
      <c r="AG113" s="36"/>
      <c r="AH113" s="36"/>
      <c r="AM113" s="412"/>
      <c r="AU113" s="412"/>
      <c r="BD113" s="412"/>
    </row>
    <row r="114" spans="1:56" s="17" customFormat="1" x14ac:dyDescent="0.2">
      <c r="A114" s="54"/>
      <c r="C114" s="47" t="s">
        <v>16</v>
      </c>
      <c r="D114" s="10"/>
      <c r="E114" s="3"/>
      <c r="I114" s="1"/>
      <c r="J114" s="4"/>
      <c r="K114" s="1"/>
      <c r="L114" s="4"/>
      <c r="M114" s="1"/>
      <c r="N114" s="1"/>
      <c r="O114" s="1"/>
      <c r="P114" s="1"/>
      <c r="Q114" s="1"/>
      <c r="R114" s="1"/>
      <c r="S114" s="1"/>
      <c r="T114" s="1"/>
      <c r="U114" s="1"/>
      <c r="V114" s="1"/>
      <c r="W114" s="1"/>
      <c r="X114" s="90"/>
      <c r="Z114" s="36"/>
      <c r="AA114" s="36"/>
      <c r="AB114" s="36"/>
      <c r="AG114" s="36"/>
      <c r="AH114" s="36"/>
      <c r="AM114" s="412"/>
      <c r="AU114" s="412"/>
      <c r="BD114" s="412"/>
    </row>
    <row r="115" spans="1:56" s="17" customFormat="1" x14ac:dyDescent="0.2">
      <c r="A115" s="54"/>
      <c r="I115" s="55"/>
      <c r="M115" s="92"/>
      <c r="N115" s="90"/>
      <c r="P115" s="90"/>
      <c r="R115" s="90"/>
      <c r="T115" s="90"/>
      <c r="V115" s="90"/>
      <c r="W115" s="90"/>
      <c r="X115" s="90"/>
      <c r="Z115" s="36"/>
      <c r="AA115" s="36"/>
      <c r="AB115" s="36"/>
      <c r="AG115" s="36"/>
      <c r="AH115" s="36"/>
      <c r="AM115" s="412"/>
      <c r="AU115" s="412"/>
      <c r="BD115" s="412"/>
    </row>
    <row r="116" spans="1:56" s="17" customFormat="1" x14ac:dyDescent="0.2">
      <c r="A116" s="54"/>
      <c r="C116" s="2" t="s">
        <v>2</v>
      </c>
      <c r="D116" s="10"/>
      <c r="E116" s="14" t="s">
        <v>6</v>
      </c>
      <c r="F116" s="95"/>
      <c r="G116" s="99">
        <f>SUM(I116:AG116)</f>
        <v>1</v>
      </c>
      <c r="I116" s="99">
        <f>1-SUM(K116:BF116)</f>
        <v>0.1855</v>
      </c>
      <c r="J116" s="100"/>
      <c r="K116" s="99">
        <f>ROUND(K111/$G$111,4)</f>
        <v>0.1512</v>
      </c>
      <c r="L116" s="100"/>
      <c r="M116" s="99">
        <f>ROUND(M111/$G$111,4)</f>
        <v>6.4299999999999996E-2</v>
      </c>
      <c r="N116" s="101"/>
      <c r="O116" s="99">
        <f>ROUND(O111/$G$111,4)</f>
        <v>0.1605</v>
      </c>
      <c r="P116" s="101"/>
      <c r="Q116" s="99">
        <f>ROUND(Q111/$G$111,4)</f>
        <v>0.28899999999999998</v>
      </c>
      <c r="R116" s="101"/>
      <c r="S116" s="99">
        <f>ROUND(S111/$G$111,4)</f>
        <v>0.14949999999999999</v>
      </c>
      <c r="T116" s="101"/>
      <c r="U116" s="99"/>
      <c r="V116" s="45"/>
      <c r="W116" s="99"/>
      <c r="X116" s="90"/>
      <c r="Y116" s="102"/>
      <c r="Z116" s="103"/>
      <c r="AA116" s="103"/>
      <c r="AB116" s="103"/>
      <c r="AG116" s="103"/>
      <c r="AH116" s="103"/>
      <c r="AI116" s="102"/>
      <c r="AJ116" s="102"/>
      <c r="AK116" s="102"/>
      <c r="AL116" s="102"/>
      <c r="AM116" s="413"/>
      <c r="AU116" s="412"/>
      <c r="BD116" s="412"/>
    </row>
    <row r="117" spans="1:56" s="17" customFormat="1" x14ac:dyDescent="0.2">
      <c r="A117" s="54"/>
      <c r="C117" s="3" t="s">
        <v>4</v>
      </c>
      <c r="D117" s="10"/>
      <c r="E117" s="14" t="s">
        <v>6</v>
      </c>
      <c r="F117" s="95"/>
      <c r="G117" s="99">
        <f>SUM(I117:AG117)</f>
        <v>1</v>
      </c>
      <c r="I117" s="99">
        <f>1-SUM(K117:BF117)</f>
        <v>0.20209999999999995</v>
      </c>
      <c r="J117" s="100"/>
      <c r="K117" s="99">
        <f>ROUND(K112/$G$112,4)</f>
        <v>0.16819999999999999</v>
      </c>
      <c r="L117" s="100"/>
      <c r="M117" s="99">
        <f>ROUND(M112/$G$112,4)</f>
        <v>5.0099999999999999E-2</v>
      </c>
      <c r="N117" s="101"/>
      <c r="O117" s="99">
        <f>ROUND(O112/$G$112,4)</f>
        <v>0.1847</v>
      </c>
      <c r="P117" s="101"/>
      <c r="Q117" s="99">
        <f>ROUND(Q112/$G$112,4)</f>
        <v>0.2278</v>
      </c>
      <c r="R117" s="101"/>
      <c r="S117" s="99">
        <f>ROUND(S112/$G$112,4)</f>
        <v>0.1671</v>
      </c>
      <c r="T117" s="101"/>
      <c r="U117" s="99"/>
      <c r="V117" s="45"/>
      <c r="W117" s="99"/>
      <c r="X117" s="90"/>
      <c r="Z117" s="36"/>
      <c r="AA117" s="36"/>
      <c r="AB117" s="36"/>
      <c r="AG117" s="36"/>
      <c r="AH117" s="36"/>
      <c r="AM117" s="412"/>
      <c r="AU117" s="412"/>
      <c r="BD117" s="412"/>
    </row>
    <row r="118" spans="1:56" s="17" customFormat="1" x14ac:dyDescent="0.2">
      <c r="A118" s="54"/>
      <c r="C118" s="2" t="s">
        <v>7</v>
      </c>
      <c r="D118" s="10"/>
      <c r="E118" s="14" t="s">
        <v>6</v>
      </c>
      <c r="F118" s="95"/>
      <c r="G118" s="99">
        <f>SUM(I118:AG118)</f>
        <v>1</v>
      </c>
      <c r="I118" s="99">
        <f>1-SUM(K118:BF118)</f>
        <v>0.19720000000000004</v>
      </c>
      <c r="J118" s="100"/>
      <c r="K118" s="99">
        <f>ROUND(K113/$G$113,4)</f>
        <v>0.16789999999999999</v>
      </c>
      <c r="L118" s="100"/>
      <c r="M118" s="99">
        <f>ROUND(M113/$G$113,4)</f>
        <v>5.5399999999999998E-2</v>
      </c>
      <c r="N118" s="101"/>
      <c r="O118" s="99">
        <f>ROUND(O113/$G$113,4)</f>
        <v>0.14760000000000001</v>
      </c>
      <c r="P118" s="101"/>
      <c r="Q118" s="99">
        <f>ROUND(Q113/$G$113,4)</f>
        <v>0.2359</v>
      </c>
      <c r="R118" s="101"/>
      <c r="S118" s="99">
        <f>ROUND(S113/$G$113,4)</f>
        <v>0.19600000000000001</v>
      </c>
      <c r="T118" s="101"/>
      <c r="U118" s="99"/>
      <c r="V118" s="45"/>
      <c r="W118" s="99"/>
      <c r="X118" s="90"/>
      <c r="Z118" s="36"/>
      <c r="AA118" s="36"/>
      <c r="AB118" s="36"/>
      <c r="AG118" s="36"/>
      <c r="AH118" s="36"/>
      <c r="AM118" s="412"/>
      <c r="AU118" s="412"/>
      <c r="BD118" s="412"/>
    </row>
    <row r="119" spans="1:56" s="17" customFormat="1" x14ac:dyDescent="0.2">
      <c r="A119" s="54"/>
      <c r="C119" s="51"/>
      <c r="D119" s="10"/>
      <c r="E119" s="14"/>
      <c r="G119" s="91"/>
      <c r="I119" s="100"/>
      <c r="J119" s="100"/>
      <c r="K119" s="100"/>
      <c r="L119" s="100"/>
      <c r="M119" s="100"/>
      <c r="N119" s="101"/>
      <c r="O119" s="100"/>
      <c r="P119" s="101"/>
      <c r="Q119" s="100"/>
      <c r="R119" s="101"/>
      <c r="S119" s="100"/>
      <c r="T119" s="101"/>
      <c r="U119" s="100"/>
      <c r="V119" s="45"/>
      <c r="W119" s="88"/>
      <c r="X119" s="90"/>
      <c r="Z119" s="36"/>
      <c r="AA119" s="36"/>
      <c r="AB119" s="36"/>
      <c r="AG119" s="36"/>
      <c r="AH119" s="36"/>
      <c r="AM119" s="412"/>
      <c r="AU119" s="412"/>
      <c r="BD119" s="412"/>
    </row>
    <row r="120" spans="1:56" s="17" customFormat="1" x14ac:dyDescent="0.2">
      <c r="A120" s="54"/>
      <c r="C120" s="119" t="str">
        <f>C19</f>
        <v>Total Composite Factor for FY 2017</v>
      </c>
      <c r="D120" s="10"/>
      <c r="E120" s="14" t="s">
        <v>6</v>
      </c>
      <c r="G120" s="99">
        <f>SUM(I120:AG120)</f>
        <v>1</v>
      </c>
      <c r="I120" s="211">
        <f>1-SUM(K120:AK120)</f>
        <v>0.19490000000000007</v>
      </c>
      <c r="J120" s="212"/>
      <c r="K120" s="211">
        <f>ROUND(AVERAGE(K116:K118),4)</f>
        <v>0.16239999999999999</v>
      </c>
      <c r="L120" s="212"/>
      <c r="M120" s="211">
        <f>ROUND(AVERAGE(M116:M118),4)</f>
        <v>5.6599999999999998E-2</v>
      </c>
      <c r="N120" s="213"/>
      <c r="O120" s="211">
        <f>ROUND(AVERAGE(O116:O118),4)</f>
        <v>0.1643</v>
      </c>
      <c r="P120" s="213"/>
      <c r="Q120" s="211">
        <f>ROUND(AVERAGE(Q116:Q118),4)</f>
        <v>0.25090000000000001</v>
      </c>
      <c r="R120" s="213"/>
      <c r="S120" s="211">
        <f>ROUND(AVERAGE(S116:S118),4)</f>
        <v>0.1709</v>
      </c>
      <c r="T120" s="101"/>
      <c r="U120" s="99"/>
      <c r="V120" s="108"/>
      <c r="W120" s="99"/>
      <c r="X120" s="90"/>
      <c r="Z120" s="36"/>
      <c r="AA120" s="36"/>
      <c r="AB120" s="36"/>
      <c r="AG120" s="36"/>
      <c r="AH120" s="36"/>
      <c r="AM120" s="412"/>
      <c r="AU120" s="412"/>
      <c r="BD120" s="412"/>
    </row>
    <row r="121" spans="1:56" s="17" customFormat="1" x14ac:dyDescent="0.2">
      <c r="A121" s="54"/>
      <c r="C121" s="51"/>
      <c r="D121" s="10"/>
      <c r="E121" s="14"/>
      <c r="I121" s="56"/>
      <c r="N121" s="90"/>
      <c r="O121" s="91"/>
      <c r="P121" s="90"/>
      <c r="R121" s="90"/>
      <c r="T121" s="90"/>
      <c r="V121" s="90"/>
      <c r="X121" s="90"/>
      <c r="Z121" s="36"/>
      <c r="AA121" s="36"/>
      <c r="AB121" s="36"/>
      <c r="AG121" s="36"/>
      <c r="AH121" s="36"/>
      <c r="AM121" s="412"/>
      <c r="AU121" s="412"/>
      <c r="BD121" s="412"/>
    </row>
    <row r="122" spans="1:56" s="17" customFormat="1" x14ac:dyDescent="0.2">
      <c r="A122" s="54"/>
      <c r="C122" s="51"/>
      <c r="D122" s="10"/>
      <c r="E122" s="14"/>
      <c r="I122" s="56"/>
      <c r="N122" s="90"/>
      <c r="O122" s="91"/>
      <c r="P122" s="90"/>
      <c r="R122" s="90"/>
      <c r="T122" s="90"/>
      <c r="V122" s="90"/>
      <c r="X122" s="90"/>
      <c r="Z122" s="36"/>
      <c r="AA122" s="36"/>
      <c r="AB122" s="36"/>
      <c r="AG122" s="36"/>
      <c r="AH122" s="36"/>
      <c r="AM122" s="412"/>
      <c r="AU122" s="412"/>
      <c r="BD122" s="412"/>
    </row>
    <row r="123" spans="1:56" s="17" customFormat="1" ht="15.75" x14ac:dyDescent="0.25">
      <c r="A123" s="54"/>
      <c r="C123" s="51"/>
      <c r="D123" s="10"/>
      <c r="E123" s="14"/>
      <c r="I123" s="208" t="s">
        <v>158</v>
      </c>
      <c r="J123" s="209"/>
      <c r="K123" s="209" t="s">
        <v>159</v>
      </c>
      <c r="L123" s="209"/>
      <c r="M123" s="209" t="s">
        <v>160</v>
      </c>
      <c r="N123" s="209"/>
      <c r="O123" s="209" t="s">
        <v>160</v>
      </c>
      <c r="P123" s="209"/>
      <c r="Q123" s="209" t="s">
        <v>161</v>
      </c>
      <c r="R123" s="209"/>
      <c r="S123" s="210" t="s">
        <v>162</v>
      </c>
      <c r="T123" s="90"/>
      <c r="V123" s="90"/>
      <c r="X123" s="90"/>
      <c r="Z123" s="36"/>
      <c r="AA123" s="36"/>
      <c r="AB123" s="36"/>
      <c r="AG123" s="36"/>
      <c r="AH123" s="36"/>
      <c r="AM123" s="412"/>
      <c r="AU123" s="412"/>
      <c r="BD123" s="412"/>
    </row>
    <row r="124" spans="1:56" s="17" customFormat="1" x14ac:dyDescent="0.2">
      <c r="A124" s="54"/>
      <c r="C124" s="51"/>
      <c r="D124" s="10"/>
      <c r="E124" s="14"/>
      <c r="I124" s="56"/>
      <c r="N124" s="90"/>
      <c r="O124" s="91"/>
      <c r="P124" s="90"/>
      <c r="R124" s="90"/>
      <c r="T124" s="90"/>
      <c r="V124" s="90"/>
      <c r="X124" s="90"/>
      <c r="Z124" s="36"/>
      <c r="AA124" s="36"/>
      <c r="AB124" s="36"/>
      <c r="AG124" s="36"/>
      <c r="AH124" s="36"/>
      <c r="AM124" s="412"/>
      <c r="AU124" s="412"/>
      <c r="BD124" s="412"/>
    </row>
    <row r="125" spans="1:56" s="17" customFormat="1" x14ac:dyDescent="0.2">
      <c r="A125" s="54"/>
      <c r="C125" s="51"/>
      <c r="D125" s="10"/>
      <c r="E125" s="14"/>
      <c r="I125" s="56"/>
      <c r="N125" s="90"/>
      <c r="O125" s="91"/>
      <c r="P125" s="90"/>
      <c r="R125" s="90"/>
      <c r="T125" s="90"/>
      <c r="V125" s="90"/>
      <c r="X125" s="90"/>
      <c r="Z125" s="36"/>
      <c r="AA125" s="36"/>
      <c r="AB125" s="36"/>
      <c r="AG125" s="36"/>
      <c r="AH125" s="36"/>
      <c r="AM125" s="412"/>
      <c r="AU125" s="412"/>
      <c r="BD125" s="412"/>
    </row>
    <row r="126" spans="1:56" s="17" customFormat="1" x14ac:dyDescent="0.2">
      <c r="A126" s="54"/>
      <c r="C126" s="51"/>
      <c r="D126" s="10"/>
      <c r="E126" s="14"/>
      <c r="I126" s="56"/>
      <c r="N126" s="90"/>
      <c r="O126" s="91"/>
      <c r="P126" s="90"/>
      <c r="R126" s="90"/>
      <c r="T126" s="90"/>
      <c r="V126" s="90"/>
      <c r="X126" s="90"/>
      <c r="Z126" s="36"/>
      <c r="AA126" s="36"/>
      <c r="AB126" s="36"/>
      <c r="AG126" s="36"/>
      <c r="AH126" s="36"/>
      <c r="AM126" s="412"/>
      <c r="AU126" s="412"/>
      <c r="BD126" s="412"/>
    </row>
    <row r="127" spans="1:56" s="17" customFormat="1" x14ac:dyDescent="0.2">
      <c r="A127" s="54"/>
      <c r="C127" s="51"/>
      <c r="D127" s="10"/>
      <c r="E127" s="14"/>
      <c r="I127" s="56"/>
      <c r="N127" s="90"/>
      <c r="O127" s="91"/>
      <c r="P127" s="90"/>
      <c r="R127" s="90"/>
      <c r="T127" s="90"/>
      <c r="V127" s="90"/>
      <c r="X127" s="90"/>
      <c r="Z127" s="36"/>
      <c r="AA127" s="36"/>
      <c r="AB127" s="36"/>
      <c r="AG127" s="36"/>
      <c r="AH127" s="36"/>
      <c r="AM127" s="412"/>
      <c r="AU127" s="412"/>
      <c r="BD127" s="412"/>
    </row>
    <row r="128" spans="1:56" s="17" customFormat="1" x14ac:dyDescent="0.2">
      <c r="A128" s="54"/>
      <c r="C128" s="51"/>
      <c r="D128" s="10"/>
      <c r="E128" s="14"/>
      <c r="I128" s="56"/>
      <c r="N128" s="90"/>
      <c r="O128" s="91"/>
      <c r="P128" s="90"/>
      <c r="R128" s="90"/>
      <c r="T128" s="90"/>
      <c r="V128" s="90"/>
      <c r="X128" s="90"/>
      <c r="Z128" s="36"/>
      <c r="AA128" s="36"/>
      <c r="AB128" s="36"/>
      <c r="AG128" s="36"/>
      <c r="AH128" s="36"/>
      <c r="AM128" s="412"/>
      <c r="AU128" s="412"/>
      <c r="BD128" s="412"/>
    </row>
    <row r="129" spans="1:56" s="17" customFormat="1" x14ac:dyDescent="0.2">
      <c r="A129" s="54"/>
      <c r="C129" s="51"/>
      <c r="D129" s="10"/>
      <c r="E129" s="14"/>
      <c r="I129" s="56"/>
      <c r="N129" s="90"/>
      <c r="O129" s="91"/>
      <c r="P129" s="90"/>
      <c r="R129" s="90"/>
      <c r="T129" s="90"/>
      <c r="V129" s="90"/>
      <c r="X129" s="90"/>
      <c r="Z129" s="36"/>
      <c r="AA129" s="36"/>
      <c r="AB129" s="36"/>
      <c r="AG129" s="36"/>
      <c r="AH129" s="36"/>
      <c r="AM129" s="412"/>
      <c r="AU129" s="412"/>
      <c r="BD129" s="412"/>
    </row>
    <row r="130" spans="1:56" s="17" customFormat="1" x14ac:dyDescent="0.2">
      <c r="A130" s="54"/>
      <c r="C130" s="51"/>
      <c r="D130" s="10"/>
      <c r="E130" s="14"/>
      <c r="I130" s="56"/>
      <c r="N130" s="90"/>
      <c r="O130" s="91"/>
      <c r="P130" s="90"/>
      <c r="R130" s="90"/>
      <c r="T130" s="90"/>
      <c r="V130" s="90"/>
      <c r="X130" s="90"/>
      <c r="Z130" s="36"/>
      <c r="AA130" s="36"/>
      <c r="AB130" s="36"/>
      <c r="AG130" s="36"/>
      <c r="AH130" s="36"/>
      <c r="AM130" s="412"/>
      <c r="AU130" s="412"/>
      <c r="BD130" s="412"/>
    </row>
    <row r="131" spans="1:56" s="17" customFormat="1" x14ac:dyDescent="0.2">
      <c r="A131" s="54"/>
      <c r="C131" s="51"/>
      <c r="D131" s="10"/>
      <c r="E131" s="14"/>
      <c r="I131" s="56"/>
      <c r="N131" s="90"/>
      <c r="O131" s="91"/>
      <c r="P131" s="90"/>
      <c r="R131" s="90"/>
      <c r="T131" s="90"/>
      <c r="V131" s="90"/>
      <c r="X131" s="90"/>
      <c r="Z131" s="36"/>
      <c r="AA131" s="36"/>
      <c r="AB131" s="36"/>
      <c r="AG131" s="36"/>
      <c r="AH131" s="36"/>
      <c r="AM131" s="412"/>
      <c r="AU131" s="412"/>
      <c r="BD131" s="412"/>
    </row>
    <row r="132" spans="1:56" s="17" customFormat="1" x14ac:dyDescent="0.2">
      <c r="A132" s="54"/>
      <c r="C132" s="51"/>
      <c r="D132" s="10"/>
      <c r="E132" s="14"/>
      <c r="I132" s="56"/>
      <c r="N132" s="90"/>
      <c r="O132" s="91"/>
      <c r="P132" s="90"/>
      <c r="R132" s="90"/>
      <c r="T132" s="90"/>
      <c r="V132" s="90"/>
      <c r="X132" s="90"/>
      <c r="Z132" s="36"/>
      <c r="AA132" s="36"/>
      <c r="AB132" s="36"/>
      <c r="AG132" s="36"/>
      <c r="AH132" s="36"/>
      <c r="AM132" s="412"/>
      <c r="AU132" s="412"/>
      <c r="BD132" s="412"/>
    </row>
    <row r="133" spans="1:56" s="17" customFormat="1" x14ac:dyDescent="0.2">
      <c r="A133" s="54"/>
      <c r="C133" s="51"/>
      <c r="D133" s="10"/>
      <c r="E133" s="14"/>
      <c r="I133" s="56"/>
      <c r="N133" s="90"/>
      <c r="O133" s="91"/>
      <c r="P133" s="90"/>
      <c r="R133" s="90"/>
      <c r="T133" s="90"/>
      <c r="V133" s="90"/>
      <c r="X133" s="90"/>
      <c r="Z133" s="36"/>
      <c r="AA133" s="36"/>
      <c r="AB133" s="36"/>
      <c r="AG133" s="36"/>
      <c r="AH133" s="36"/>
      <c r="AM133" s="412"/>
      <c r="AU133" s="412"/>
      <c r="BD133" s="412"/>
    </row>
    <row r="135" spans="1:56" s="14" customFormat="1" x14ac:dyDescent="0.2">
      <c r="A135" s="19"/>
      <c r="C135" s="96" t="s">
        <v>96</v>
      </c>
      <c r="D135" s="10"/>
      <c r="G135" s="15"/>
      <c r="H135" s="15"/>
      <c r="X135" s="15"/>
      <c r="Y135" s="15"/>
      <c r="Z135" s="16"/>
      <c r="AA135" s="15"/>
      <c r="AB135" s="15"/>
      <c r="AC135" s="15"/>
      <c r="AD135" s="15"/>
      <c r="AG135" s="16"/>
      <c r="AH135" s="16"/>
      <c r="AI135" s="15"/>
      <c r="AJ135" s="15"/>
      <c r="AK135" s="15"/>
      <c r="AL135" s="15"/>
      <c r="AM135" s="411"/>
      <c r="AU135" s="427"/>
      <c r="BD135" s="427"/>
    </row>
    <row r="136" spans="1:56" s="17" customFormat="1" x14ac:dyDescent="0.2">
      <c r="A136" s="54"/>
      <c r="I136" s="55"/>
      <c r="M136" s="92"/>
      <c r="N136" s="90"/>
      <c r="P136" s="90"/>
      <c r="R136" s="90"/>
      <c r="T136" s="90"/>
      <c r="V136" s="90"/>
      <c r="X136" s="90"/>
      <c r="Z136" s="36"/>
      <c r="AA136" s="36"/>
      <c r="AB136" s="36"/>
      <c r="AG136" s="36"/>
      <c r="AH136" s="36"/>
      <c r="AM136" s="412"/>
      <c r="AU136" s="412"/>
      <c r="BD136" s="412"/>
    </row>
    <row r="137" spans="1:56" s="17" customFormat="1" x14ac:dyDescent="0.2">
      <c r="A137" s="54"/>
      <c r="C137" s="2" t="s">
        <v>2</v>
      </c>
      <c r="D137" s="10"/>
      <c r="E137" s="3" t="s">
        <v>3</v>
      </c>
      <c r="G137" s="82">
        <f>SUM(I137:AG137)</f>
        <v>7254204874.79</v>
      </c>
      <c r="I137" s="110">
        <f>I10</f>
        <v>712017562.00999999</v>
      </c>
      <c r="J137" s="8"/>
      <c r="K137" s="110"/>
      <c r="L137" s="8"/>
      <c r="M137" s="110"/>
      <c r="N137" s="46"/>
      <c r="O137" s="110"/>
      <c r="P137" s="46"/>
      <c r="Q137" s="110"/>
      <c r="R137" s="46"/>
      <c r="S137" s="110"/>
      <c r="T137" s="46"/>
      <c r="U137" s="110">
        <f>U10</f>
        <v>3977519792.1199999</v>
      </c>
      <c r="V137" s="45"/>
      <c r="W137" s="110">
        <f>W10</f>
        <v>2564667520.6599998</v>
      </c>
      <c r="X137" s="90"/>
      <c r="Z137" s="36"/>
      <c r="AA137" s="36"/>
      <c r="AB137" s="36"/>
      <c r="AG137" s="36"/>
      <c r="AH137" s="36"/>
      <c r="AM137" s="412"/>
      <c r="AU137" s="412"/>
      <c r="BD137" s="412"/>
    </row>
    <row r="138" spans="1:56" s="17" customFormat="1" x14ac:dyDescent="0.2">
      <c r="A138" s="54"/>
      <c r="C138" s="3" t="s">
        <v>4</v>
      </c>
      <c r="D138" s="10"/>
      <c r="E138" s="3" t="s">
        <v>5</v>
      </c>
      <c r="G138" s="83">
        <f>SUM(I138:AG138)</f>
        <v>1907534.25</v>
      </c>
      <c r="I138" s="110">
        <f>I11</f>
        <v>299655.58333333331</v>
      </c>
      <c r="J138" s="8"/>
      <c r="K138" s="110"/>
      <c r="L138" s="8"/>
      <c r="M138" s="110"/>
      <c r="N138" s="46"/>
      <c r="O138" s="110"/>
      <c r="P138" s="46"/>
      <c r="Q138" s="110"/>
      <c r="R138" s="46"/>
      <c r="S138" s="110"/>
      <c r="T138" s="46"/>
      <c r="U138" s="110">
        <f>U11</f>
        <v>1607562.9166666667</v>
      </c>
      <c r="V138" s="45"/>
      <c r="W138" s="110">
        <f>W11</f>
        <v>315.75</v>
      </c>
      <c r="X138" s="90"/>
      <c r="Z138" s="36"/>
      <c r="AA138" s="36"/>
      <c r="AB138" s="36"/>
      <c r="AG138" s="36"/>
      <c r="AH138" s="36"/>
      <c r="AM138" s="412"/>
      <c r="AU138" s="412"/>
      <c r="BD138" s="412"/>
    </row>
    <row r="139" spans="1:56" s="17" customFormat="1" x14ac:dyDescent="0.2">
      <c r="A139" s="54"/>
      <c r="C139" s="2" t="s">
        <v>15</v>
      </c>
      <c r="D139" s="10"/>
      <c r="E139" s="3" t="s">
        <v>3</v>
      </c>
      <c r="G139" s="82">
        <f>SUM(I139:AG139)</f>
        <v>264144863.08999997</v>
      </c>
      <c r="I139" s="110">
        <f>I12</f>
        <v>31254669.100000001</v>
      </c>
      <c r="J139" s="8"/>
      <c r="K139" s="110"/>
      <c r="L139" s="8"/>
      <c r="M139" s="110"/>
      <c r="N139" s="46"/>
      <c r="O139" s="110"/>
      <c r="P139" s="46"/>
      <c r="Q139" s="110"/>
      <c r="R139" s="46"/>
      <c r="S139" s="110"/>
      <c r="T139" s="46"/>
      <c r="U139" s="110">
        <f>U12</f>
        <v>118248978.97</v>
      </c>
      <c r="V139" s="45"/>
      <c r="W139" s="110">
        <f>W12</f>
        <v>114641215.02</v>
      </c>
      <c r="X139" s="90"/>
      <c r="Z139" s="36"/>
      <c r="AA139" s="36"/>
      <c r="AB139" s="36"/>
      <c r="AG139" s="36"/>
      <c r="AH139" s="36"/>
      <c r="AM139" s="412"/>
      <c r="AU139" s="412"/>
      <c r="BD139" s="412"/>
    </row>
    <row r="140" spans="1:56" s="17" customFormat="1" x14ac:dyDescent="0.2">
      <c r="A140" s="54"/>
      <c r="C140" s="47" t="s">
        <v>16</v>
      </c>
      <c r="D140" s="10"/>
      <c r="E140" s="3"/>
      <c r="I140" s="1"/>
      <c r="J140" s="4"/>
      <c r="K140" s="1"/>
      <c r="L140" s="4"/>
      <c r="M140" s="1"/>
      <c r="N140" s="1"/>
      <c r="O140" s="1"/>
      <c r="P140" s="1"/>
      <c r="Q140" s="1"/>
      <c r="R140" s="1"/>
      <c r="S140" s="1"/>
      <c r="T140" s="1"/>
      <c r="U140" s="1"/>
      <c r="V140" s="45"/>
      <c r="W140" s="18"/>
      <c r="X140" s="90"/>
      <c r="Z140" s="36"/>
      <c r="AA140" s="36"/>
      <c r="AB140" s="36"/>
      <c r="AG140" s="36"/>
      <c r="AH140" s="36"/>
      <c r="AM140" s="412"/>
      <c r="AU140" s="412"/>
      <c r="BD140" s="412"/>
    </row>
    <row r="141" spans="1:56" s="17" customFormat="1" x14ac:dyDescent="0.2">
      <c r="A141" s="54"/>
      <c r="I141" s="55"/>
      <c r="M141" s="92"/>
      <c r="N141" s="90"/>
      <c r="P141" s="90"/>
      <c r="R141" s="90"/>
      <c r="T141" s="90"/>
      <c r="V141" s="45"/>
      <c r="W141" s="5"/>
      <c r="X141" s="90"/>
      <c r="Z141" s="36"/>
      <c r="AA141" s="36"/>
      <c r="AB141" s="36"/>
      <c r="AG141" s="36"/>
      <c r="AH141" s="36"/>
      <c r="AM141" s="412"/>
      <c r="AU141" s="412"/>
      <c r="BD141" s="412"/>
    </row>
    <row r="142" spans="1:56" s="17" customFormat="1" x14ac:dyDescent="0.2">
      <c r="A142" s="54"/>
      <c r="C142" s="2" t="s">
        <v>2</v>
      </c>
      <c r="D142" s="10"/>
      <c r="E142" s="14" t="s">
        <v>6</v>
      </c>
      <c r="F142" s="95"/>
      <c r="G142" s="99">
        <f>SUM(I142:AG142)</f>
        <v>1</v>
      </c>
      <c r="I142" s="99">
        <f>1-SUM(K142:BF142)</f>
        <v>9.8200000000000065E-2</v>
      </c>
      <c r="J142" s="100"/>
      <c r="K142" s="99"/>
      <c r="L142" s="100"/>
      <c r="M142" s="99"/>
      <c r="N142" s="101"/>
      <c r="O142" s="99"/>
      <c r="P142" s="101"/>
      <c r="Q142" s="99"/>
      <c r="R142" s="101"/>
      <c r="S142" s="99"/>
      <c r="T142" s="101"/>
      <c r="U142" s="99">
        <f>ROUND(U137/$G$137,4)</f>
        <v>0.54830000000000001</v>
      </c>
      <c r="V142" s="45"/>
      <c r="W142" s="99">
        <f>ROUND(W137/$G$137,4)</f>
        <v>0.35349999999999998</v>
      </c>
      <c r="X142" s="90"/>
      <c r="Y142" s="102"/>
      <c r="Z142" s="103"/>
      <c r="AA142" s="103"/>
      <c r="AB142" s="103"/>
      <c r="AG142" s="103"/>
      <c r="AH142" s="103"/>
      <c r="AI142" s="102"/>
      <c r="AJ142" s="102"/>
      <c r="AK142" s="102"/>
      <c r="AL142" s="102"/>
      <c r="AM142" s="413"/>
      <c r="AU142" s="412"/>
      <c r="BD142" s="412"/>
    </row>
    <row r="143" spans="1:56" s="17" customFormat="1" x14ac:dyDescent="0.2">
      <c r="A143" s="54"/>
      <c r="C143" s="3" t="s">
        <v>4</v>
      </c>
      <c r="D143" s="10"/>
      <c r="E143" s="14" t="s">
        <v>6</v>
      </c>
      <c r="F143" s="95"/>
      <c r="G143" s="99">
        <f>SUM(I143:AG143)</f>
        <v>1</v>
      </c>
      <c r="I143" s="99">
        <f>1-SUM(K143:BF143)</f>
        <v>0.15710000000000002</v>
      </c>
      <c r="J143" s="100"/>
      <c r="K143" s="99"/>
      <c r="L143" s="100"/>
      <c r="M143" s="99"/>
      <c r="N143" s="101"/>
      <c r="O143" s="99"/>
      <c r="P143" s="101"/>
      <c r="Q143" s="99"/>
      <c r="R143" s="101"/>
      <c r="S143" s="99"/>
      <c r="T143" s="101"/>
      <c r="U143" s="99">
        <f>ROUND(U138/$G$138,4)</f>
        <v>0.8427</v>
      </c>
      <c r="V143" s="45"/>
      <c r="W143" s="99">
        <f>ROUND(W138/$G$138,4)</f>
        <v>2.0000000000000001E-4</v>
      </c>
      <c r="X143" s="90"/>
      <c r="Z143" s="36"/>
      <c r="AA143" s="36"/>
      <c r="AB143" s="36"/>
      <c r="AG143" s="36"/>
      <c r="AH143" s="36"/>
      <c r="AM143" s="412"/>
      <c r="AU143" s="412"/>
      <c r="BD143" s="412"/>
    </row>
    <row r="144" spans="1:56" s="17" customFormat="1" x14ac:dyDescent="0.2">
      <c r="A144" s="54"/>
      <c r="C144" s="2" t="s">
        <v>7</v>
      </c>
      <c r="D144" s="10"/>
      <c r="E144" s="14" t="s">
        <v>6</v>
      </c>
      <c r="F144" s="95"/>
      <c r="G144" s="99">
        <f>SUM(I144:AG144)</f>
        <v>1</v>
      </c>
      <c r="I144" s="99">
        <f>1-SUM(K144:BF144)</f>
        <v>0.11830000000000007</v>
      </c>
      <c r="J144" s="100"/>
      <c r="K144" s="99"/>
      <c r="L144" s="100"/>
      <c r="M144" s="99"/>
      <c r="N144" s="101"/>
      <c r="O144" s="99"/>
      <c r="P144" s="101"/>
      <c r="Q144" s="99"/>
      <c r="R144" s="101"/>
      <c r="S144" s="99"/>
      <c r="T144" s="101"/>
      <c r="U144" s="99">
        <f>ROUND(U139/$G$139,4)</f>
        <v>0.44769999999999999</v>
      </c>
      <c r="V144" s="45"/>
      <c r="W144" s="99">
        <f>ROUND(W139/$G$139,4)</f>
        <v>0.434</v>
      </c>
      <c r="X144" s="90"/>
      <c r="Z144" s="36"/>
      <c r="AA144" s="36"/>
      <c r="AB144" s="36"/>
      <c r="AG144" s="36"/>
      <c r="AH144" s="36"/>
      <c r="AM144" s="412"/>
      <c r="AU144" s="412"/>
      <c r="BD144" s="412"/>
    </row>
    <row r="145" spans="1:61" s="17" customFormat="1" x14ac:dyDescent="0.2">
      <c r="A145" s="54"/>
      <c r="C145" s="51"/>
      <c r="D145" s="10"/>
      <c r="E145" s="14"/>
      <c r="G145" s="91"/>
      <c r="I145" s="100"/>
      <c r="J145" s="100"/>
      <c r="K145" s="100"/>
      <c r="L145" s="100"/>
      <c r="M145" s="100"/>
      <c r="N145" s="101"/>
      <c r="O145" s="100"/>
      <c r="P145" s="101"/>
      <c r="Q145" s="100"/>
      <c r="R145" s="101"/>
      <c r="S145" s="100"/>
      <c r="T145" s="101"/>
      <c r="U145" s="100"/>
      <c r="V145" s="45"/>
      <c r="W145" s="88"/>
      <c r="X145" s="90"/>
      <c r="Z145" s="36"/>
      <c r="AA145" s="36"/>
      <c r="AB145" s="36"/>
      <c r="AG145" s="36"/>
      <c r="AH145" s="36"/>
      <c r="AM145" s="412"/>
      <c r="AU145" s="412"/>
      <c r="BD145" s="412"/>
    </row>
    <row r="146" spans="1:61" s="17" customFormat="1" x14ac:dyDescent="0.2">
      <c r="A146" s="54"/>
      <c r="C146" s="119" t="str">
        <f>C19</f>
        <v>Total Composite Factor for FY 2017</v>
      </c>
      <c r="D146" s="10"/>
      <c r="E146" s="14" t="s">
        <v>6</v>
      </c>
      <c r="G146" s="99">
        <f>SUM(I146:AG146)</f>
        <v>1</v>
      </c>
      <c r="I146" s="233">
        <f>1-SUM(K146:BF146)</f>
        <v>0.12450000000000006</v>
      </c>
      <c r="J146" s="234"/>
      <c r="K146" s="233"/>
      <c r="L146" s="234"/>
      <c r="M146" s="233"/>
      <c r="N146" s="235"/>
      <c r="O146" s="233"/>
      <c r="P146" s="235"/>
      <c r="Q146" s="233"/>
      <c r="R146" s="235"/>
      <c r="S146" s="233"/>
      <c r="T146" s="235"/>
      <c r="U146" s="233">
        <f>ROUND(AVERAGE(U142:U144),4)</f>
        <v>0.6129</v>
      </c>
      <c r="V146" s="236"/>
      <c r="W146" s="233">
        <f>ROUND(AVERAGE(W142:W144),4)</f>
        <v>0.2626</v>
      </c>
      <c r="X146" s="90"/>
      <c r="Z146" s="36"/>
      <c r="AA146" s="36"/>
      <c r="AB146" s="36"/>
      <c r="AG146" s="36"/>
      <c r="AH146" s="36"/>
      <c r="AM146" s="412"/>
      <c r="AU146" s="412"/>
      <c r="BD146" s="412"/>
    </row>
    <row r="147" spans="1:61" s="17" customFormat="1" ht="15.75" x14ac:dyDescent="0.25">
      <c r="A147" s="54"/>
      <c r="C147" s="51"/>
      <c r="D147" s="10"/>
      <c r="E147" s="14"/>
      <c r="I147" s="228" t="s">
        <v>163</v>
      </c>
      <c r="J147" s="229"/>
      <c r="K147" s="229"/>
      <c r="L147" s="229"/>
      <c r="M147" s="229"/>
      <c r="N147" s="229"/>
      <c r="O147" s="229"/>
      <c r="P147" s="229"/>
      <c r="Q147" s="229"/>
      <c r="R147" s="229"/>
      <c r="S147" s="230"/>
      <c r="T147" s="229"/>
      <c r="U147" s="230" t="s">
        <v>164</v>
      </c>
      <c r="V147" s="245"/>
      <c r="W147" s="245" t="s">
        <v>165</v>
      </c>
      <c r="X147" s="90"/>
      <c r="Z147" s="36"/>
      <c r="AA147" s="36"/>
      <c r="AB147" s="36"/>
      <c r="AG147" s="36"/>
      <c r="AH147" s="36"/>
      <c r="AM147" s="412"/>
      <c r="AU147" s="412"/>
      <c r="BD147" s="412"/>
    </row>
    <row r="150" spans="1:61" s="6" customFormat="1" x14ac:dyDescent="0.2">
      <c r="A150" s="40"/>
      <c r="C150" s="131" t="s">
        <v>166</v>
      </c>
      <c r="V150" s="20"/>
      <c r="X150" s="20"/>
      <c r="AM150" s="400"/>
      <c r="AU150" s="400"/>
      <c r="BD150" s="400"/>
    </row>
    <row r="151" spans="1:61" s="6" customFormat="1" ht="25.5" x14ac:dyDescent="0.2">
      <c r="A151" s="42"/>
      <c r="B151" s="43"/>
      <c r="C151" s="44"/>
      <c r="E151" s="20"/>
      <c r="G151" s="7" t="s">
        <v>1</v>
      </c>
      <c r="I151" s="81" t="s">
        <v>13</v>
      </c>
      <c r="K151" s="7" t="s">
        <v>10</v>
      </c>
      <c r="M151" s="7" t="s">
        <v>11</v>
      </c>
      <c r="N151" s="20"/>
      <c r="O151" s="7" t="s">
        <v>12</v>
      </c>
      <c r="P151" s="20"/>
      <c r="Q151" s="109" t="s">
        <v>82</v>
      </c>
      <c r="R151" s="20"/>
      <c r="S151" s="7" t="s">
        <v>81</v>
      </c>
      <c r="T151" s="20"/>
      <c r="U151" s="7" t="s">
        <v>14</v>
      </c>
      <c r="V151" s="20"/>
      <c r="W151" s="134"/>
      <c r="X151" s="20"/>
      <c r="Y151" s="20"/>
      <c r="Z151" s="20"/>
      <c r="AA151" s="134"/>
      <c r="AB151" s="134"/>
      <c r="AC151" s="134"/>
      <c r="AD151" s="134"/>
      <c r="AE151" s="20"/>
      <c r="AF151" s="20"/>
      <c r="AG151" s="20"/>
      <c r="AH151" s="20"/>
      <c r="AI151" s="134"/>
      <c r="AJ151" s="134"/>
      <c r="AK151" s="134"/>
      <c r="AL151" s="134"/>
      <c r="AM151" s="415"/>
      <c r="AN151" s="20"/>
      <c r="AO151" s="20"/>
      <c r="AP151" s="20"/>
      <c r="AQ151" s="20"/>
      <c r="AR151" s="20"/>
      <c r="AS151" s="20"/>
      <c r="AT151" s="20"/>
      <c r="AU151" s="428"/>
      <c r="AV151" s="20"/>
      <c r="AW151" s="20"/>
      <c r="AX151" s="20"/>
      <c r="AY151" s="20"/>
      <c r="AZ151" s="20"/>
      <c r="BA151" s="20"/>
      <c r="BB151" s="20"/>
      <c r="BC151" s="20"/>
      <c r="BD151" s="428"/>
      <c r="BE151" s="20"/>
      <c r="BF151" s="20"/>
      <c r="BG151" s="20"/>
      <c r="BH151" s="20"/>
      <c r="BI151" s="20"/>
    </row>
    <row r="152" spans="1:61" x14ac:dyDescent="0.2">
      <c r="G152" s="45"/>
      <c r="H152" s="45"/>
      <c r="I152" s="46"/>
      <c r="W152" s="45"/>
      <c r="Y152" s="45"/>
      <c r="Z152" s="114"/>
      <c r="AA152" s="114"/>
      <c r="AB152" s="114"/>
      <c r="AC152" s="45"/>
      <c r="AD152" s="45"/>
      <c r="AE152" s="45"/>
      <c r="AF152" s="45"/>
      <c r="AG152" s="114"/>
      <c r="AH152" s="114"/>
      <c r="AI152" s="45"/>
      <c r="AJ152" s="45"/>
      <c r="AK152" s="45"/>
      <c r="AL152" s="45"/>
      <c r="AM152" s="416"/>
      <c r="AN152" s="45"/>
      <c r="AO152" s="45"/>
      <c r="AP152" s="45"/>
      <c r="AQ152" s="45"/>
      <c r="AR152" s="45"/>
      <c r="AS152" s="45"/>
      <c r="AT152" s="45"/>
      <c r="AU152" s="416"/>
      <c r="AV152" s="45"/>
      <c r="AW152" s="45"/>
      <c r="AX152" s="45"/>
      <c r="AY152" s="45"/>
      <c r="AZ152" s="45"/>
      <c r="BA152" s="45"/>
      <c r="BB152" s="45"/>
      <c r="BC152" s="45"/>
      <c r="BD152" s="416"/>
      <c r="BE152" s="45"/>
      <c r="BF152" s="45"/>
      <c r="BG152" s="45"/>
      <c r="BH152" s="45"/>
      <c r="BI152" s="45"/>
    </row>
    <row r="153" spans="1:61" s="3" customFormat="1" x14ac:dyDescent="0.2">
      <c r="A153" s="19"/>
      <c r="C153" s="2" t="s">
        <v>2</v>
      </c>
      <c r="D153" s="10"/>
      <c r="E153" s="3" t="s">
        <v>3</v>
      </c>
      <c r="G153" s="82">
        <f>SUM(I153:AG153)</f>
        <v>4689537354.1300001</v>
      </c>
      <c r="H153" s="46"/>
      <c r="I153" s="110">
        <f>I10</f>
        <v>712017562.00999999</v>
      </c>
      <c r="J153" s="8"/>
      <c r="K153" s="110"/>
      <c r="L153" s="8"/>
      <c r="M153" s="110"/>
      <c r="N153" s="46"/>
      <c r="O153" s="110"/>
      <c r="P153" s="46"/>
      <c r="Q153" s="110"/>
      <c r="R153" s="46"/>
      <c r="S153" s="110"/>
      <c r="T153" s="46"/>
      <c r="U153" s="110">
        <f>U10</f>
        <v>3977519792.1199999</v>
      </c>
      <c r="V153" s="46"/>
      <c r="W153" s="46"/>
      <c r="X153" s="46"/>
      <c r="Y153" s="46"/>
      <c r="Z153" s="46"/>
      <c r="AA153" s="46"/>
      <c r="AB153" s="46"/>
      <c r="AC153" s="46"/>
      <c r="AD153" s="46"/>
      <c r="AE153" s="94"/>
      <c r="AF153" s="94"/>
      <c r="AG153" s="46"/>
      <c r="AH153" s="46"/>
      <c r="AI153" s="46"/>
      <c r="AJ153" s="46"/>
      <c r="AK153" s="46"/>
      <c r="AL153" s="46"/>
      <c r="AM153" s="417"/>
      <c r="AN153" s="94"/>
      <c r="AO153" s="94"/>
      <c r="AP153" s="94"/>
      <c r="AQ153" s="94"/>
      <c r="AR153" s="94"/>
      <c r="AS153" s="94"/>
      <c r="AT153" s="94"/>
      <c r="AU153" s="429"/>
      <c r="AV153" s="94"/>
      <c r="AW153" s="94"/>
      <c r="AX153" s="94"/>
      <c r="AY153" s="94"/>
      <c r="AZ153" s="94"/>
      <c r="BA153" s="94"/>
      <c r="BB153" s="94"/>
      <c r="BC153" s="94"/>
      <c r="BD153" s="429"/>
      <c r="BE153" s="94"/>
      <c r="BF153" s="94"/>
      <c r="BG153" s="94"/>
      <c r="BH153" s="94"/>
      <c r="BI153" s="94"/>
    </row>
    <row r="154" spans="1:61" s="3" customFormat="1" x14ac:dyDescent="0.2">
      <c r="A154" s="19"/>
      <c r="C154" s="3" t="s">
        <v>4</v>
      </c>
      <c r="D154" s="10"/>
      <c r="E154" s="3" t="s">
        <v>5</v>
      </c>
      <c r="G154" s="83">
        <f>SUM(I154:AG154)</f>
        <v>1907218.5</v>
      </c>
      <c r="H154" s="46"/>
      <c r="I154" s="111">
        <f>I11</f>
        <v>299655.58333333331</v>
      </c>
      <c r="J154" s="8"/>
      <c r="K154" s="110"/>
      <c r="L154" s="8"/>
      <c r="M154" s="110"/>
      <c r="N154" s="46"/>
      <c r="O154" s="110"/>
      <c r="P154" s="46"/>
      <c r="Q154" s="110"/>
      <c r="R154" s="46"/>
      <c r="S154" s="110"/>
      <c r="T154" s="46"/>
      <c r="U154" s="110">
        <f>U11</f>
        <v>1607562.9166666667</v>
      </c>
      <c r="V154" s="46"/>
      <c r="W154" s="46"/>
      <c r="X154" s="46"/>
      <c r="Y154" s="46"/>
      <c r="Z154" s="46"/>
      <c r="AA154" s="46"/>
      <c r="AB154" s="46"/>
      <c r="AC154" s="46"/>
      <c r="AD154" s="46"/>
      <c r="AE154" s="94"/>
      <c r="AF154" s="94"/>
      <c r="AG154" s="46"/>
      <c r="AH154" s="46"/>
      <c r="AI154" s="46"/>
      <c r="AJ154" s="46"/>
      <c r="AK154" s="46"/>
      <c r="AL154" s="46"/>
      <c r="AM154" s="417"/>
      <c r="AN154" s="94"/>
      <c r="AO154" s="94"/>
      <c r="AP154" s="94"/>
      <c r="AQ154" s="94"/>
      <c r="AR154" s="94"/>
      <c r="AS154" s="94"/>
      <c r="AT154" s="94"/>
      <c r="AU154" s="429"/>
      <c r="AV154" s="94"/>
      <c r="AW154" s="94"/>
      <c r="AX154" s="94"/>
      <c r="AY154" s="94"/>
      <c r="AZ154" s="94"/>
      <c r="BA154" s="94"/>
      <c r="BB154" s="94"/>
      <c r="BC154" s="94"/>
      <c r="BD154" s="429"/>
      <c r="BE154" s="94"/>
      <c r="BF154" s="94"/>
      <c r="BG154" s="94"/>
      <c r="BH154" s="94"/>
      <c r="BI154" s="94"/>
    </row>
    <row r="155" spans="1:61" s="3" customFormat="1" x14ac:dyDescent="0.2">
      <c r="A155" s="19"/>
      <c r="C155" s="2" t="s">
        <v>15</v>
      </c>
      <c r="D155" s="10"/>
      <c r="E155" s="3" t="s">
        <v>3</v>
      </c>
      <c r="G155" s="82">
        <f>SUM(I155:AG155)</f>
        <v>149503648.06999999</v>
      </c>
      <c r="H155" s="46"/>
      <c r="I155" s="111">
        <f>I12</f>
        <v>31254669.100000001</v>
      </c>
      <c r="J155" s="8"/>
      <c r="K155" s="110"/>
      <c r="L155" s="8"/>
      <c r="M155" s="111"/>
      <c r="N155" s="46"/>
      <c r="O155" s="111"/>
      <c r="P155" s="46"/>
      <c r="Q155" s="110"/>
      <c r="R155" s="46"/>
      <c r="S155" s="110"/>
      <c r="T155" s="46"/>
      <c r="U155" s="110">
        <f>U12</f>
        <v>118248978.97</v>
      </c>
      <c r="V155" s="46"/>
      <c r="W155" s="46"/>
      <c r="X155" s="46"/>
      <c r="Y155" s="46"/>
      <c r="Z155" s="46"/>
      <c r="AA155" s="46"/>
      <c r="AB155" s="46"/>
      <c r="AC155" s="46"/>
      <c r="AD155" s="46"/>
      <c r="AE155" s="94"/>
      <c r="AF155" s="94"/>
      <c r="AG155" s="46"/>
      <c r="AH155" s="46"/>
      <c r="AI155" s="46"/>
      <c r="AJ155" s="46"/>
      <c r="AK155" s="46"/>
      <c r="AL155" s="46"/>
      <c r="AM155" s="417"/>
      <c r="AN155" s="94"/>
      <c r="AO155" s="94"/>
      <c r="AP155" s="94"/>
      <c r="AQ155" s="94"/>
      <c r="AR155" s="94"/>
      <c r="AS155" s="94"/>
      <c r="AT155" s="94"/>
      <c r="AU155" s="429"/>
      <c r="AV155" s="94"/>
      <c r="AW155" s="94"/>
      <c r="AX155" s="94"/>
      <c r="AY155" s="94"/>
      <c r="AZ155" s="94"/>
      <c r="BA155" s="94"/>
      <c r="BB155" s="94"/>
      <c r="BC155" s="94"/>
      <c r="BD155" s="429"/>
      <c r="BE155" s="94"/>
      <c r="BF155" s="94"/>
      <c r="BG155" s="94"/>
      <c r="BH155" s="94"/>
      <c r="BI155" s="94"/>
    </row>
    <row r="156" spans="1:61" s="3" customFormat="1" x14ac:dyDescent="0.2">
      <c r="A156" s="19"/>
      <c r="C156" s="47" t="s">
        <v>16</v>
      </c>
      <c r="D156" s="10"/>
      <c r="G156" s="48"/>
      <c r="H156" s="8"/>
      <c r="I156" s="1"/>
      <c r="J156" s="4"/>
      <c r="K156" s="1"/>
      <c r="L156" s="4"/>
      <c r="M156" s="1"/>
      <c r="N156" s="1"/>
      <c r="O156" s="1"/>
      <c r="P156" s="1"/>
      <c r="Q156" s="1"/>
      <c r="R156" s="1"/>
      <c r="S156" s="1"/>
      <c r="T156" s="1"/>
      <c r="U156" s="1"/>
      <c r="V156" s="1"/>
      <c r="W156" s="18"/>
      <c r="X156" s="1"/>
      <c r="Y156" s="18"/>
      <c r="Z156" s="94"/>
      <c r="AA156" s="18"/>
      <c r="AB156" s="18"/>
      <c r="AC156" s="18"/>
      <c r="AD156" s="18"/>
      <c r="AE156" s="94"/>
      <c r="AF156" s="94"/>
      <c r="AG156" s="94"/>
      <c r="AH156" s="94"/>
      <c r="AI156" s="1"/>
      <c r="AJ156" s="1"/>
      <c r="AK156" s="1"/>
      <c r="AL156" s="1"/>
      <c r="AM156" s="418"/>
      <c r="AN156" s="94"/>
      <c r="AO156" s="94"/>
      <c r="AP156" s="94"/>
      <c r="AQ156" s="94"/>
      <c r="AR156" s="94"/>
      <c r="AS156" s="94"/>
      <c r="AT156" s="94"/>
      <c r="AU156" s="429"/>
      <c r="AV156" s="94"/>
      <c r="AW156" s="94"/>
      <c r="AX156" s="94"/>
      <c r="AY156" s="94"/>
      <c r="AZ156" s="94"/>
      <c r="BA156" s="94"/>
      <c r="BB156" s="94"/>
      <c r="BC156" s="94"/>
      <c r="BD156" s="429"/>
      <c r="BE156" s="94"/>
      <c r="BF156" s="94"/>
      <c r="BG156" s="94"/>
      <c r="BH156" s="94"/>
      <c r="BI156" s="94"/>
    </row>
    <row r="157" spans="1:61" x14ac:dyDescent="0.2">
      <c r="A157" s="49" t="s">
        <v>9</v>
      </c>
      <c r="B157" s="44"/>
      <c r="D157" s="10"/>
      <c r="G157" s="50"/>
      <c r="I157" s="107"/>
      <c r="W157" s="45"/>
      <c r="Y157" s="45"/>
      <c r="Z157" s="114"/>
      <c r="AA157" s="114"/>
      <c r="AB157" s="114"/>
      <c r="AC157" s="45"/>
      <c r="AD157" s="45"/>
      <c r="AE157" s="45"/>
      <c r="AF157" s="45"/>
      <c r="AG157" s="114"/>
      <c r="AH157" s="114"/>
      <c r="AI157" s="50"/>
      <c r="AJ157" s="50"/>
      <c r="AK157" s="45"/>
      <c r="AL157" s="45"/>
      <c r="AM157" s="416"/>
      <c r="AN157" s="45"/>
      <c r="AO157" s="45"/>
      <c r="AP157" s="45"/>
      <c r="AQ157" s="45"/>
      <c r="AR157" s="45"/>
      <c r="AS157" s="45"/>
      <c r="AT157" s="45"/>
      <c r="AU157" s="416"/>
      <c r="AV157" s="45"/>
      <c r="AW157" s="45"/>
      <c r="AX157" s="45"/>
      <c r="AY157" s="45"/>
      <c r="AZ157" s="45"/>
      <c r="BA157" s="45"/>
      <c r="BB157" s="45"/>
      <c r="BC157" s="45"/>
      <c r="BD157" s="416"/>
      <c r="BE157" s="45"/>
      <c r="BF157" s="45"/>
      <c r="BG157" s="45"/>
      <c r="BH157" s="45"/>
      <c r="BI157" s="45"/>
    </row>
    <row r="158" spans="1:61" s="14" customFormat="1" x14ac:dyDescent="0.2">
      <c r="A158" s="19"/>
      <c r="C158" s="2" t="s">
        <v>2</v>
      </c>
      <c r="D158" s="10"/>
      <c r="E158" s="14" t="s">
        <v>6</v>
      </c>
      <c r="G158" s="84">
        <f>SUM(I158:AG158)</f>
        <v>1</v>
      </c>
      <c r="H158" s="85"/>
      <c r="I158" s="86">
        <f>1-SUM(K158:BF158)</f>
        <v>0.15180000000000005</v>
      </c>
      <c r="J158" s="85"/>
      <c r="K158" s="84">
        <f>ROUND(K153/$G$10,4)</f>
        <v>0</v>
      </c>
      <c r="L158" s="85"/>
      <c r="M158" s="84">
        <f>ROUND(M153/$G153,4)</f>
        <v>0</v>
      </c>
      <c r="N158" s="88"/>
      <c r="O158" s="84">
        <f>ROUND(O153/$G153,4)</f>
        <v>0</v>
      </c>
      <c r="P158" s="88"/>
      <c r="Q158" s="84">
        <f>ROUND(Q153/$G153,4)</f>
        <v>0</v>
      </c>
      <c r="R158" s="88"/>
      <c r="S158" s="84">
        <f>ROUND(S153/$G153,4)</f>
        <v>0</v>
      </c>
      <c r="T158" s="88"/>
      <c r="U158" s="84">
        <f>ROUND(U153/$G153,4)</f>
        <v>0.84819999999999995</v>
      </c>
      <c r="V158" s="88"/>
      <c r="W158" s="88"/>
      <c r="X158" s="88"/>
      <c r="Y158" s="88"/>
      <c r="Z158" s="16"/>
      <c r="AA158" s="88"/>
      <c r="AB158" s="88"/>
      <c r="AC158" s="88"/>
      <c r="AD158" s="88"/>
      <c r="AE158" s="16"/>
      <c r="AF158" s="16"/>
      <c r="AG158" s="16"/>
      <c r="AH158" s="16"/>
      <c r="AI158" s="88"/>
      <c r="AJ158" s="88"/>
      <c r="AK158" s="88"/>
      <c r="AL158" s="88"/>
      <c r="AM158" s="406"/>
      <c r="AN158" s="16"/>
      <c r="AO158" s="16"/>
      <c r="AP158" s="16"/>
      <c r="AQ158" s="16"/>
      <c r="AR158" s="16"/>
      <c r="AS158" s="16"/>
      <c r="AT158" s="16"/>
      <c r="AU158" s="430"/>
      <c r="AV158" s="16"/>
      <c r="AW158" s="16"/>
      <c r="AX158" s="16"/>
      <c r="AY158" s="16"/>
      <c r="AZ158" s="16"/>
      <c r="BA158" s="16"/>
      <c r="BB158" s="16"/>
      <c r="BC158" s="16"/>
      <c r="BD158" s="430"/>
      <c r="BE158" s="16"/>
      <c r="BF158" s="16"/>
      <c r="BG158" s="16"/>
      <c r="BH158" s="16"/>
      <c r="BI158" s="16"/>
    </row>
    <row r="159" spans="1:61" s="14" customFormat="1" x14ac:dyDescent="0.2">
      <c r="A159" s="19"/>
      <c r="C159" s="3" t="s">
        <v>4</v>
      </c>
      <c r="D159" s="10"/>
      <c r="E159" s="14" t="s">
        <v>6</v>
      </c>
      <c r="G159" s="87">
        <f>SUM(I159:AG159)</f>
        <v>1</v>
      </c>
      <c r="H159" s="85"/>
      <c r="I159" s="86">
        <f>1-SUM(K159:BF159)</f>
        <v>0.15710000000000002</v>
      </c>
      <c r="J159" s="85"/>
      <c r="K159" s="84">
        <f>ROUND(K154/$G$11,4)</f>
        <v>0</v>
      </c>
      <c r="L159" s="85"/>
      <c r="M159" s="84">
        <f>ROUND(M154/$G154,4)</f>
        <v>0</v>
      </c>
      <c r="N159" s="88"/>
      <c r="O159" s="84">
        <f>ROUND(O154/$G154,4)</f>
        <v>0</v>
      </c>
      <c r="P159" s="88"/>
      <c r="Q159" s="84">
        <f>ROUND(Q154/$G154,4)</f>
        <v>0</v>
      </c>
      <c r="R159" s="88"/>
      <c r="S159" s="84">
        <f>ROUND(S154/$G154,4)</f>
        <v>0</v>
      </c>
      <c r="T159" s="88"/>
      <c r="U159" s="84">
        <f>ROUND(U154/$G154,4)</f>
        <v>0.84289999999999998</v>
      </c>
      <c r="V159" s="88"/>
      <c r="W159" s="88"/>
      <c r="X159" s="88"/>
      <c r="Y159" s="88"/>
      <c r="Z159" s="16"/>
      <c r="AA159" s="88"/>
      <c r="AB159" s="88"/>
      <c r="AC159" s="88"/>
      <c r="AD159" s="88"/>
      <c r="AE159" s="16"/>
      <c r="AF159" s="16"/>
      <c r="AG159" s="16"/>
      <c r="AH159" s="16"/>
      <c r="AI159" s="88"/>
      <c r="AJ159" s="88"/>
      <c r="AK159" s="88"/>
      <c r="AL159" s="88"/>
      <c r="AM159" s="406"/>
      <c r="AN159" s="16"/>
      <c r="AO159" s="16"/>
      <c r="AP159" s="16"/>
      <c r="AQ159" s="16"/>
      <c r="AR159" s="16"/>
      <c r="AS159" s="16"/>
      <c r="AT159" s="16"/>
      <c r="AU159" s="430"/>
      <c r="AV159" s="16"/>
      <c r="AW159" s="16"/>
      <c r="AX159" s="16"/>
      <c r="AY159" s="16"/>
      <c r="AZ159" s="16"/>
      <c r="BA159" s="16"/>
      <c r="BB159" s="16"/>
      <c r="BC159" s="16"/>
      <c r="BD159" s="430"/>
      <c r="BE159" s="16"/>
      <c r="BF159" s="16"/>
      <c r="BG159" s="16"/>
      <c r="BH159" s="16"/>
      <c r="BI159" s="16"/>
    </row>
    <row r="160" spans="1:61" s="14" customFormat="1" x14ac:dyDescent="0.2">
      <c r="A160" s="19"/>
      <c r="C160" s="2" t="s">
        <v>7</v>
      </c>
      <c r="D160" s="10"/>
      <c r="E160" s="14" t="s">
        <v>6</v>
      </c>
      <c r="G160" s="87">
        <f>SUM(I160:AG160)</f>
        <v>1</v>
      </c>
      <c r="H160" s="85"/>
      <c r="I160" s="86">
        <f>1-SUM(K160:BF160)</f>
        <v>0.20909999999999995</v>
      </c>
      <c r="J160" s="85"/>
      <c r="K160" s="84">
        <f>ROUND(K155/$G155,4)</f>
        <v>0</v>
      </c>
      <c r="L160" s="85"/>
      <c r="M160" s="84">
        <f>ROUND(M155/$G155,4)</f>
        <v>0</v>
      </c>
      <c r="N160" s="88"/>
      <c r="O160" s="84">
        <f>ROUND(O155/$G155,4)</f>
        <v>0</v>
      </c>
      <c r="P160" s="88"/>
      <c r="Q160" s="84">
        <f>ROUND(Q155/$G155,4)</f>
        <v>0</v>
      </c>
      <c r="R160" s="88"/>
      <c r="S160" s="84">
        <f>ROUND(S155/$G155,4)</f>
        <v>0</v>
      </c>
      <c r="T160" s="88"/>
      <c r="U160" s="84">
        <f>ROUND(U155/$G155,4)</f>
        <v>0.79090000000000005</v>
      </c>
      <c r="V160" s="88"/>
      <c r="W160" s="88"/>
      <c r="X160" s="88"/>
      <c r="Y160" s="88"/>
      <c r="Z160" s="16"/>
      <c r="AA160" s="88"/>
      <c r="AB160" s="88"/>
      <c r="AC160" s="88"/>
      <c r="AD160" s="88"/>
      <c r="AE160" s="16"/>
      <c r="AF160" s="16"/>
      <c r="AG160" s="16"/>
      <c r="AH160" s="16"/>
      <c r="AI160" s="88"/>
      <c r="AJ160" s="88"/>
      <c r="AK160" s="88"/>
      <c r="AL160" s="88"/>
      <c r="AM160" s="406"/>
      <c r="AN160" s="16"/>
      <c r="AO160" s="16"/>
      <c r="AP160" s="16"/>
      <c r="AQ160" s="16"/>
      <c r="AR160" s="16"/>
      <c r="AS160" s="16"/>
      <c r="AT160" s="16"/>
      <c r="AU160" s="430"/>
      <c r="AV160" s="16"/>
      <c r="AW160" s="16"/>
      <c r="AX160" s="16"/>
      <c r="AY160" s="16"/>
      <c r="AZ160" s="16"/>
      <c r="BA160" s="16"/>
      <c r="BB160" s="16"/>
      <c r="BC160" s="16"/>
      <c r="BD160" s="430"/>
      <c r="BE160" s="16"/>
      <c r="BF160" s="16"/>
      <c r="BG160" s="16"/>
      <c r="BH160" s="16"/>
      <c r="BI160" s="16"/>
    </row>
    <row r="161" spans="1:61" s="14" customFormat="1" x14ac:dyDescent="0.2">
      <c r="A161" s="19"/>
      <c r="C161" s="51"/>
      <c r="D161" s="10"/>
      <c r="G161" s="88"/>
      <c r="H161" s="88"/>
      <c r="I161" s="89"/>
      <c r="J161" s="88"/>
      <c r="K161" s="88"/>
      <c r="L161" s="88"/>
      <c r="M161" s="88"/>
      <c r="N161" s="88"/>
      <c r="O161" s="88"/>
      <c r="P161" s="88"/>
      <c r="Q161" s="88"/>
      <c r="R161" s="88"/>
      <c r="S161" s="88"/>
      <c r="T161" s="88"/>
      <c r="U161" s="88"/>
      <c r="V161" s="88"/>
      <c r="W161" s="88"/>
      <c r="X161" s="88"/>
      <c r="Y161" s="88"/>
      <c r="Z161" s="16"/>
      <c r="AA161" s="88"/>
      <c r="AB161" s="88"/>
      <c r="AC161" s="88"/>
      <c r="AD161" s="88"/>
      <c r="AE161" s="16"/>
      <c r="AF161" s="16"/>
      <c r="AG161" s="16"/>
      <c r="AH161" s="16"/>
      <c r="AI161" s="88"/>
      <c r="AJ161" s="88"/>
      <c r="AK161" s="88"/>
      <c r="AL161" s="88"/>
      <c r="AM161" s="406"/>
      <c r="AN161" s="16"/>
      <c r="AO161" s="16"/>
      <c r="AP161" s="16"/>
      <c r="AQ161" s="16"/>
      <c r="AR161" s="16"/>
      <c r="AS161" s="16"/>
      <c r="AT161" s="16"/>
      <c r="AU161" s="430"/>
      <c r="AV161" s="16"/>
      <c r="AW161" s="16"/>
      <c r="AX161" s="16"/>
      <c r="AY161" s="16"/>
      <c r="AZ161" s="16"/>
      <c r="BA161" s="16"/>
      <c r="BB161" s="16"/>
      <c r="BC161" s="16"/>
      <c r="BD161" s="430"/>
      <c r="BE161" s="16"/>
      <c r="BF161" s="16"/>
      <c r="BG161" s="16"/>
      <c r="BH161" s="16"/>
      <c r="BI161" s="16"/>
    </row>
    <row r="162" spans="1:61" s="14" customFormat="1" x14ac:dyDescent="0.2">
      <c r="A162" s="19"/>
      <c r="C162" s="119" t="str">
        <f>C19</f>
        <v>Total Composite Factor for FY 2017</v>
      </c>
      <c r="D162" s="10"/>
      <c r="E162" s="14" t="s">
        <v>6</v>
      </c>
      <c r="G162" s="84">
        <f>SUM(I162:AG162)</f>
        <v>1</v>
      </c>
      <c r="H162" s="85"/>
      <c r="I162" s="233">
        <f>1-SUM(K162:BF162)</f>
        <v>0.17269999999999996</v>
      </c>
      <c r="J162" s="234"/>
      <c r="K162" s="233">
        <f>ROUND(AVERAGE(K158:K160),4)</f>
        <v>0</v>
      </c>
      <c r="L162" s="234"/>
      <c r="M162" s="233">
        <f>ROUND(AVERAGE(M158:M160),4)</f>
        <v>0</v>
      </c>
      <c r="N162" s="235"/>
      <c r="O162" s="233">
        <f>ROUND(AVERAGE(O158:O160),4)</f>
        <v>0</v>
      </c>
      <c r="P162" s="235"/>
      <c r="Q162" s="233">
        <f>ROUND(AVERAGE(Q158:Q160),4)</f>
        <v>0</v>
      </c>
      <c r="R162" s="235"/>
      <c r="S162" s="233">
        <f>ROUND(AVERAGE(S158:S160),4)</f>
        <v>0</v>
      </c>
      <c r="T162" s="235"/>
      <c r="U162" s="233">
        <f>ROUND(AVERAGE(U158:U160),4)</f>
        <v>0.82730000000000004</v>
      </c>
      <c r="V162" s="108"/>
      <c r="W162" s="101"/>
      <c r="X162" s="89"/>
      <c r="Y162" s="101"/>
      <c r="Z162" s="89"/>
      <c r="AA162" s="101"/>
      <c r="AB162" s="101"/>
      <c r="AC162" s="101"/>
      <c r="AD162" s="101"/>
      <c r="AE162" s="16"/>
      <c r="AF162" s="16"/>
      <c r="AG162" s="89"/>
      <c r="AH162" s="89"/>
      <c r="AI162" s="101"/>
      <c r="AJ162" s="101"/>
      <c r="AK162" s="101"/>
      <c r="AL162" s="101"/>
      <c r="AM162" s="419"/>
      <c r="AN162" s="16"/>
      <c r="AO162" s="16"/>
      <c r="AP162" s="16"/>
      <c r="AQ162" s="16"/>
      <c r="AR162" s="16"/>
      <c r="AS162" s="16"/>
      <c r="AT162" s="16"/>
      <c r="AU162" s="430"/>
      <c r="AV162" s="16"/>
      <c r="AW162" s="16"/>
      <c r="AX162" s="16"/>
      <c r="AY162" s="16"/>
      <c r="AZ162" s="16"/>
      <c r="BA162" s="16"/>
      <c r="BB162" s="16"/>
      <c r="BC162" s="16"/>
      <c r="BD162" s="430"/>
      <c r="BE162" s="16"/>
      <c r="BF162" s="16"/>
      <c r="BG162" s="16"/>
      <c r="BH162" s="16"/>
      <c r="BI162" s="16"/>
    </row>
    <row r="163" spans="1:61" ht="15.75" x14ac:dyDescent="0.25">
      <c r="I163" s="242" t="s">
        <v>167</v>
      </c>
      <c r="J163" s="232"/>
      <c r="K163" s="232"/>
      <c r="L163" s="232"/>
      <c r="M163" s="232"/>
      <c r="N163" s="231"/>
      <c r="O163" s="232"/>
      <c r="P163" s="231"/>
      <c r="Q163" s="232"/>
      <c r="R163" s="231"/>
      <c r="S163" s="232"/>
      <c r="T163" s="231"/>
      <c r="U163" s="232" t="s">
        <v>168</v>
      </c>
    </row>
    <row r="166" spans="1:61" s="6" customFormat="1" ht="15.75" x14ac:dyDescent="0.25">
      <c r="A166" s="40"/>
      <c r="C166" s="144" t="s">
        <v>172</v>
      </c>
      <c r="E166" s="145"/>
      <c r="F166" s="145"/>
      <c r="G166" s="145"/>
      <c r="H166" s="145"/>
      <c r="V166" s="148"/>
      <c r="W166" s="147"/>
      <c r="X166" s="148"/>
      <c r="Y166" s="147"/>
      <c r="Z166" s="147"/>
      <c r="AA166" s="147"/>
      <c r="AB166" s="147"/>
      <c r="AC166" s="147"/>
      <c r="AD166" s="147"/>
      <c r="AM166" s="400"/>
      <c r="AU166" s="400"/>
      <c r="BD166" s="400"/>
    </row>
    <row r="167" spans="1:61" s="6" customFormat="1" ht="25.5" x14ac:dyDescent="0.2">
      <c r="A167" s="42"/>
      <c r="B167" s="43"/>
      <c r="C167" s="44"/>
      <c r="E167" s="20"/>
      <c r="G167" s="7" t="s">
        <v>1</v>
      </c>
      <c r="I167" s="81" t="s">
        <v>13</v>
      </c>
      <c r="K167" s="7" t="s">
        <v>10</v>
      </c>
      <c r="M167" s="7" t="s">
        <v>11</v>
      </c>
      <c r="N167" s="20"/>
      <c r="O167" s="7" t="s">
        <v>12</v>
      </c>
      <c r="P167" s="20"/>
      <c r="Q167" s="109" t="s">
        <v>82</v>
      </c>
      <c r="R167" s="20"/>
      <c r="S167" s="7" t="s">
        <v>81</v>
      </c>
      <c r="T167" s="20"/>
      <c r="U167" s="7" t="s">
        <v>14</v>
      </c>
      <c r="V167" s="20"/>
      <c r="W167" s="134"/>
      <c r="X167" s="20"/>
      <c r="Y167" s="20"/>
      <c r="Z167" s="20"/>
      <c r="AA167" s="134"/>
      <c r="AB167" s="134"/>
      <c r="AC167" s="134"/>
      <c r="AD167" s="134"/>
      <c r="AE167" s="7"/>
      <c r="AF167" s="20"/>
      <c r="AG167" s="20"/>
      <c r="AH167" s="20"/>
      <c r="AI167" s="134"/>
      <c r="AJ167" s="134"/>
      <c r="AK167" s="134"/>
      <c r="AL167" s="134"/>
      <c r="AM167" s="415"/>
      <c r="AN167" s="20"/>
      <c r="AO167" s="20"/>
      <c r="AU167" s="400"/>
      <c r="BD167" s="400"/>
    </row>
    <row r="168" spans="1:61" x14ac:dyDescent="0.2">
      <c r="G168" s="45"/>
      <c r="H168" s="45"/>
      <c r="I168" s="46"/>
      <c r="W168" s="45"/>
      <c r="Y168" s="45"/>
      <c r="Z168" s="114"/>
      <c r="AA168" s="114"/>
      <c r="AB168" s="114"/>
      <c r="AC168" s="45"/>
      <c r="AD168" s="45"/>
      <c r="AG168" s="114"/>
      <c r="AH168" s="114"/>
      <c r="AI168" s="45"/>
      <c r="AJ168" s="45"/>
      <c r="AK168" s="45"/>
      <c r="AL168" s="45"/>
      <c r="AM168" s="416"/>
      <c r="AN168" s="45"/>
      <c r="AO168" s="45"/>
    </row>
    <row r="169" spans="1:61" s="3" customFormat="1" x14ac:dyDescent="0.2">
      <c r="A169" s="19"/>
      <c r="C169" s="2" t="s">
        <v>2</v>
      </c>
      <c r="D169" s="10"/>
      <c r="E169" s="3" t="s">
        <v>3</v>
      </c>
      <c r="G169" s="82">
        <f>SUM(I169:AG169)</f>
        <v>7838504129.3400002</v>
      </c>
      <c r="H169" s="46"/>
      <c r="I169" s="110">
        <f>I10</f>
        <v>712017562.00999999</v>
      </c>
      <c r="J169" s="8"/>
      <c r="K169" s="110">
        <f>K10</f>
        <v>580194446.90999997</v>
      </c>
      <c r="L169" s="8"/>
      <c r="M169" s="110">
        <f>M10</f>
        <v>246846679.05000001</v>
      </c>
      <c r="N169" s="46"/>
      <c r="O169" s="110">
        <f>O10</f>
        <v>615843381.10000002</v>
      </c>
      <c r="P169" s="46"/>
      <c r="Q169" s="110">
        <f>Q10</f>
        <v>1108959113.1300001</v>
      </c>
      <c r="R169" s="46"/>
      <c r="S169" s="110">
        <f>S10</f>
        <v>573781841.95000005</v>
      </c>
      <c r="T169" s="46"/>
      <c r="U169" s="110">
        <f>U10</f>
        <v>3977519792.1199999</v>
      </c>
      <c r="V169" s="46"/>
      <c r="W169" s="46"/>
      <c r="X169" s="46"/>
      <c r="Y169" s="46"/>
      <c r="Z169" s="46"/>
      <c r="AA169" s="46"/>
      <c r="AB169" s="46"/>
      <c r="AC169" s="46"/>
      <c r="AD169" s="46"/>
      <c r="AE169" s="110">
        <f>AE10</f>
        <v>23341313.07</v>
      </c>
      <c r="AF169" s="46"/>
      <c r="AG169" s="46"/>
      <c r="AH169" s="46"/>
      <c r="AI169" s="46"/>
      <c r="AJ169" s="46"/>
      <c r="AK169" s="46"/>
      <c r="AL169" s="46"/>
      <c r="AM169" s="417"/>
      <c r="AN169" s="94"/>
      <c r="AO169" s="94"/>
      <c r="AU169" s="431"/>
      <c r="BD169" s="431"/>
    </row>
    <row r="170" spans="1:61" s="3" customFormat="1" x14ac:dyDescent="0.2">
      <c r="A170" s="19"/>
      <c r="C170" s="3" t="s">
        <v>4</v>
      </c>
      <c r="D170" s="10"/>
      <c r="E170" s="3" t="s">
        <v>5</v>
      </c>
      <c r="G170" s="83">
        <f>SUM(I170:AG170)</f>
        <v>3090802.333333333</v>
      </c>
      <c r="H170" s="46"/>
      <c r="I170" s="111">
        <f>I11</f>
        <v>299655.58333333331</v>
      </c>
      <c r="J170" s="8"/>
      <c r="K170" s="110">
        <f>K11</f>
        <v>249509.25</v>
      </c>
      <c r="L170" s="8"/>
      <c r="M170" s="110">
        <f>M11</f>
        <v>74383.416666666672</v>
      </c>
      <c r="N170" s="46"/>
      <c r="O170" s="110">
        <f>O11</f>
        <v>273973.91666666669</v>
      </c>
      <c r="P170" s="46"/>
      <c r="Q170" s="110">
        <f>Q11</f>
        <v>337869.5</v>
      </c>
      <c r="R170" s="46"/>
      <c r="S170" s="110">
        <f>S11</f>
        <v>247834.75</v>
      </c>
      <c r="T170" s="46"/>
      <c r="U170" s="110">
        <f>U11</f>
        <v>1607562.9166666667</v>
      </c>
      <c r="V170" s="46"/>
      <c r="W170" s="46"/>
      <c r="X170" s="46"/>
      <c r="Y170" s="46"/>
      <c r="Z170" s="46"/>
      <c r="AA170" s="46"/>
      <c r="AB170" s="46"/>
      <c r="AC170" s="46"/>
      <c r="AD170" s="46"/>
      <c r="AE170" s="110">
        <f>AE11</f>
        <v>13</v>
      </c>
      <c r="AF170" s="46"/>
      <c r="AG170" s="46"/>
      <c r="AH170" s="46"/>
      <c r="AI170" s="46"/>
      <c r="AJ170" s="46"/>
      <c r="AK170" s="46"/>
      <c r="AL170" s="46"/>
      <c r="AM170" s="417"/>
      <c r="AN170" s="94"/>
      <c r="AO170" s="94"/>
      <c r="AU170" s="431"/>
      <c r="BD170" s="431"/>
    </row>
    <row r="171" spans="1:61" s="3" customFormat="1" x14ac:dyDescent="0.2">
      <c r="A171" s="19"/>
      <c r="C171" s="2" t="s">
        <v>15</v>
      </c>
      <c r="D171" s="10"/>
      <c r="E171" s="3" t="s">
        <v>3</v>
      </c>
      <c r="G171" s="82">
        <f>SUM(I171:AG171)</f>
        <v>277996476.98000002</v>
      </c>
      <c r="H171" s="46"/>
      <c r="I171" s="111">
        <f>I12</f>
        <v>31254669.100000001</v>
      </c>
      <c r="J171" s="8"/>
      <c r="K171" s="110">
        <f>K12</f>
        <v>26613522.739999998</v>
      </c>
      <c r="L171" s="8"/>
      <c r="M171" s="111">
        <f>M12</f>
        <v>8773969.5999999996</v>
      </c>
      <c r="N171" s="46"/>
      <c r="O171" s="111">
        <f>O12</f>
        <v>23385584.489999998</v>
      </c>
      <c r="P171" s="46"/>
      <c r="Q171" s="110">
        <f>Q12</f>
        <v>37389660.939999998</v>
      </c>
      <c r="R171" s="46"/>
      <c r="S171" s="110">
        <f>S12</f>
        <v>31054400.039999999</v>
      </c>
      <c r="T171" s="46"/>
      <c r="U171" s="110">
        <f>U12</f>
        <v>118248978.97</v>
      </c>
      <c r="V171" s="46"/>
      <c r="W171" s="46"/>
      <c r="X171" s="46"/>
      <c r="Y171" s="46"/>
      <c r="Z171" s="46"/>
      <c r="AA171" s="46"/>
      <c r="AB171" s="46"/>
      <c r="AC171" s="46"/>
      <c r="AD171" s="46"/>
      <c r="AE171" s="110">
        <f>AE12</f>
        <v>1275691.1000000001</v>
      </c>
      <c r="AF171" s="46"/>
      <c r="AG171" s="46"/>
      <c r="AH171" s="46"/>
      <c r="AI171" s="46"/>
      <c r="AJ171" s="46"/>
      <c r="AK171" s="46"/>
      <c r="AL171" s="46"/>
      <c r="AM171" s="417"/>
      <c r="AN171" s="94"/>
      <c r="AO171" s="94"/>
      <c r="AU171" s="431"/>
      <c r="BD171" s="431"/>
    </row>
    <row r="172" spans="1:61" s="3" customFormat="1" x14ac:dyDescent="0.2">
      <c r="A172" s="19"/>
      <c r="C172" s="47" t="s">
        <v>16</v>
      </c>
      <c r="D172" s="10"/>
      <c r="G172" s="48"/>
      <c r="H172" s="8"/>
      <c r="I172" s="1"/>
      <c r="J172" s="4"/>
      <c r="K172" s="1"/>
      <c r="L172" s="4"/>
      <c r="M172" s="1"/>
      <c r="N172" s="1"/>
      <c r="O172" s="1"/>
      <c r="P172" s="1"/>
      <c r="Q172" s="1"/>
      <c r="R172" s="1"/>
      <c r="S172" s="1"/>
      <c r="T172" s="1"/>
      <c r="U172" s="1"/>
      <c r="V172" s="1"/>
      <c r="W172" s="18"/>
      <c r="X172" s="1"/>
      <c r="Y172" s="18"/>
      <c r="Z172" s="94"/>
      <c r="AA172" s="18"/>
      <c r="AB172" s="18"/>
      <c r="AC172" s="18"/>
      <c r="AD172" s="18"/>
      <c r="AE172" s="1"/>
      <c r="AF172" s="1"/>
      <c r="AG172" s="94"/>
      <c r="AH172" s="94"/>
      <c r="AI172" s="1"/>
      <c r="AJ172" s="1"/>
      <c r="AK172" s="1"/>
      <c r="AL172" s="1"/>
      <c r="AM172" s="418"/>
      <c r="AN172" s="94"/>
      <c r="AO172" s="94"/>
      <c r="AU172" s="431"/>
      <c r="BD172" s="431"/>
    </row>
    <row r="173" spans="1:61" x14ac:dyDescent="0.2">
      <c r="A173" s="49" t="s">
        <v>9</v>
      </c>
      <c r="B173" s="44"/>
      <c r="D173" s="10"/>
      <c r="G173" s="50"/>
      <c r="I173" s="107"/>
      <c r="W173" s="45"/>
      <c r="Y173" s="45"/>
      <c r="Z173" s="114"/>
      <c r="AA173" s="114"/>
      <c r="AB173" s="114"/>
      <c r="AC173" s="45"/>
      <c r="AD173" s="45"/>
      <c r="AG173" s="114"/>
      <c r="AH173" s="114"/>
      <c r="AI173" s="50"/>
      <c r="AJ173" s="50"/>
      <c r="AK173" s="45"/>
      <c r="AL173" s="45"/>
      <c r="AM173" s="416"/>
      <c r="AN173" s="45"/>
      <c r="AO173" s="45"/>
    </row>
    <row r="174" spans="1:61" s="14" customFormat="1" x14ac:dyDescent="0.2">
      <c r="A174" s="19"/>
      <c r="C174" s="2" t="s">
        <v>2</v>
      </c>
      <c r="D174" s="10"/>
      <c r="E174" s="14" t="s">
        <v>6</v>
      </c>
      <c r="G174" s="84">
        <f>SUM(I174:AG174)</f>
        <v>0.99999999999999989</v>
      </c>
      <c r="H174" s="85"/>
      <c r="I174" s="86">
        <f>1-SUM(K174:BF174)</f>
        <v>0.10920000000000007</v>
      </c>
      <c r="J174" s="85"/>
      <c r="K174" s="84">
        <f>ROUND(K169/$G$10,4)</f>
        <v>5.5599999999999997E-2</v>
      </c>
      <c r="L174" s="85"/>
      <c r="M174" s="84">
        <f>ROUND(M169/$G169,4)</f>
        <v>3.15E-2</v>
      </c>
      <c r="N174" s="88"/>
      <c r="O174" s="84">
        <f>ROUND(O169/$G169,4)</f>
        <v>7.8600000000000003E-2</v>
      </c>
      <c r="P174" s="88"/>
      <c r="Q174" s="84">
        <f>ROUND(Q169/$G169,4)</f>
        <v>0.14149999999999999</v>
      </c>
      <c r="R174" s="88"/>
      <c r="S174" s="84">
        <f>ROUND(S169/$G169,4)</f>
        <v>7.3200000000000001E-2</v>
      </c>
      <c r="T174" s="88"/>
      <c r="U174" s="84">
        <f>ROUND(U169/$G169,4)</f>
        <v>0.50739999999999996</v>
      </c>
      <c r="V174" s="88"/>
      <c r="W174" s="88"/>
      <c r="X174" s="88"/>
      <c r="Y174" s="88"/>
      <c r="Z174" s="16"/>
      <c r="AA174" s="88"/>
      <c r="AB174" s="88"/>
      <c r="AC174" s="88"/>
      <c r="AD174" s="88"/>
      <c r="AE174" s="84">
        <f>ROUND(AE169/$G169,4)</f>
        <v>3.0000000000000001E-3</v>
      </c>
      <c r="AF174" s="88"/>
      <c r="AG174" s="16"/>
      <c r="AH174" s="16"/>
      <c r="AI174" s="88"/>
      <c r="AJ174" s="88"/>
      <c r="AK174" s="88"/>
      <c r="AL174" s="88"/>
      <c r="AM174" s="406"/>
      <c r="AN174" s="16"/>
      <c r="AO174" s="16"/>
      <c r="AU174" s="427"/>
      <c r="BD174" s="427"/>
    </row>
    <row r="175" spans="1:61" s="14" customFormat="1" x14ac:dyDescent="0.2">
      <c r="A175" s="19"/>
      <c r="C175" s="3" t="s">
        <v>4</v>
      </c>
      <c r="D175" s="10"/>
      <c r="E175" s="14" t="s">
        <v>6</v>
      </c>
      <c r="G175" s="87">
        <f>SUM(I175:AG175)</f>
        <v>1</v>
      </c>
      <c r="H175" s="85"/>
      <c r="I175" s="86">
        <f>1-SUM(K175:BF175)</f>
        <v>9.6999999999999975E-2</v>
      </c>
      <c r="J175" s="85"/>
      <c r="K175" s="84">
        <f>ROUND(K170/$G$11,4)</f>
        <v>8.0699999999999994E-2</v>
      </c>
      <c r="L175" s="85"/>
      <c r="M175" s="84">
        <f>ROUND(M170/$G170,4)</f>
        <v>2.41E-2</v>
      </c>
      <c r="N175" s="88"/>
      <c r="O175" s="84">
        <f>ROUND(O170/$G170,4)</f>
        <v>8.8599999999999998E-2</v>
      </c>
      <c r="P175" s="88"/>
      <c r="Q175" s="84">
        <f>ROUND(Q170/$G170,4)</f>
        <v>0.10929999999999999</v>
      </c>
      <c r="R175" s="88"/>
      <c r="S175" s="84">
        <f>ROUND(S170/$G170,4)</f>
        <v>8.0199999999999994E-2</v>
      </c>
      <c r="T175" s="88"/>
      <c r="U175" s="84">
        <f>ROUND(U170/$G170,4)</f>
        <v>0.52010000000000001</v>
      </c>
      <c r="V175" s="88"/>
      <c r="W175" s="88"/>
      <c r="X175" s="88"/>
      <c r="Y175" s="88"/>
      <c r="Z175" s="16"/>
      <c r="AA175" s="88"/>
      <c r="AB175" s="88"/>
      <c r="AC175" s="88"/>
      <c r="AD175" s="88"/>
      <c r="AE175" s="84">
        <f>ROUND(AE170/$G170,4)</f>
        <v>0</v>
      </c>
      <c r="AF175" s="88"/>
      <c r="AG175" s="16"/>
      <c r="AH175" s="16"/>
      <c r="AI175" s="88"/>
      <c r="AJ175" s="88"/>
      <c r="AK175" s="88"/>
      <c r="AL175" s="88"/>
      <c r="AM175" s="406"/>
      <c r="AN175" s="16"/>
      <c r="AO175" s="16"/>
      <c r="AU175" s="427"/>
      <c r="BD175" s="427"/>
    </row>
    <row r="176" spans="1:61" s="14" customFormat="1" x14ac:dyDescent="0.2">
      <c r="A176" s="19"/>
      <c r="C176" s="2" t="s">
        <v>7</v>
      </c>
      <c r="D176" s="10"/>
      <c r="E176" s="14" t="s">
        <v>6</v>
      </c>
      <c r="G176" s="87">
        <f>SUM(I176:AG176)</f>
        <v>1</v>
      </c>
      <c r="H176" s="85"/>
      <c r="I176" s="86">
        <f>1-SUM(K176:BF176)</f>
        <v>0.11239999999999994</v>
      </c>
      <c r="J176" s="85"/>
      <c r="K176" s="84">
        <f>ROUND(K171/$G171,4)</f>
        <v>9.5699999999999993E-2</v>
      </c>
      <c r="L176" s="85"/>
      <c r="M176" s="84">
        <f>ROUND(M171/$G171,4)</f>
        <v>3.1600000000000003E-2</v>
      </c>
      <c r="N176" s="88"/>
      <c r="O176" s="84">
        <f>ROUND(O171/$G171,4)</f>
        <v>8.4099999999999994E-2</v>
      </c>
      <c r="P176" s="88"/>
      <c r="Q176" s="84">
        <f>ROUND(Q171/$G171,4)</f>
        <v>0.13450000000000001</v>
      </c>
      <c r="R176" s="88"/>
      <c r="S176" s="84">
        <f>ROUND(S171/$G171,4)</f>
        <v>0.11169999999999999</v>
      </c>
      <c r="T176" s="88"/>
      <c r="U176" s="84">
        <f>ROUND(U171/$G171,4)</f>
        <v>0.4254</v>
      </c>
      <c r="V176" s="88"/>
      <c r="W176" s="88"/>
      <c r="X176" s="88"/>
      <c r="Y176" s="88"/>
      <c r="Z176" s="16"/>
      <c r="AA176" s="88"/>
      <c r="AB176" s="88"/>
      <c r="AC176" s="88"/>
      <c r="AD176" s="88"/>
      <c r="AE176" s="84">
        <f>ROUND(AE171/$G171,4)</f>
        <v>4.5999999999999999E-3</v>
      </c>
      <c r="AF176" s="88"/>
      <c r="AG176" s="16"/>
      <c r="AH176" s="16"/>
      <c r="AI176" s="88"/>
      <c r="AJ176" s="88"/>
      <c r="AK176" s="88"/>
      <c r="AL176" s="88"/>
      <c r="AM176" s="406"/>
      <c r="AN176" s="16"/>
      <c r="AO176" s="16"/>
      <c r="AU176" s="427"/>
      <c r="BD176" s="427"/>
    </row>
    <row r="177" spans="1:69" s="14" customFormat="1" x14ac:dyDescent="0.2">
      <c r="A177" s="19"/>
      <c r="C177" s="51"/>
      <c r="D177" s="10"/>
      <c r="G177" s="88"/>
      <c r="H177" s="88"/>
      <c r="I177" s="89"/>
      <c r="J177" s="88"/>
      <c r="K177" s="88"/>
      <c r="L177" s="88"/>
      <c r="M177" s="88"/>
      <c r="N177" s="88"/>
      <c r="O177" s="88"/>
      <c r="P177" s="88"/>
      <c r="Q177" s="88"/>
      <c r="R177" s="88"/>
      <c r="S177" s="88"/>
      <c r="T177" s="88"/>
      <c r="U177" s="88"/>
      <c r="V177" s="88"/>
      <c r="W177" s="88"/>
      <c r="X177" s="88"/>
      <c r="Y177" s="88"/>
      <c r="Z177" s="16"/>
      <c r="AA177" s="88"/>
      <c r="AB177" s="88"/>
      <c r="AC177" s="88"/>
      <c r="AD177" s="88"/>
      <c r="AE177" s="88"/>
      <c r="AF177" s="88"/>
      <c r="AG177" s="16"/>
      <c r="AH177" s="16"/>
      <c r="AI177" s="88"/>
      <c r="AJ177" s="88"/>
      <c r="AK177" s="88"/>
      <c r="AL177" s="88"/>
      <c r="AM177" s="406"/>
      <c r="AN177" s="16"/>
      <c r="AO177" s="16"/>
      <c r="AU177" s="427"/>
      <c r="BD177" s="427"/>
    </row>
    <row r="178" spans="1:69" s="14" customFormat="1" x14ac:dyDescent="0.2">
      <c r="A178" s="19"/>
      <c r="C178" s="119" t="str">
        <f>C19</f>
        <v>Total Composite Factor for FY 2017</v>
      </c>
      <c r="D178" s="10"/>
      <c r="E178" s="14" t="s">
        <v>6</v>
      </c>
      <c r="G178" s="84">
        <f>SUM(I178:AG178)</f>
        <v>1</v>
      </c>
      <c r="H178" s="85"/>
      <c r="I178" s="233">
        <f>1-SUM(K178:BF178)</f>
        <v>0.10620000000000007</v>
      </c>
      <c r="J178" s="234"/>
      <c r="K178" s="233">
        <f>ROUND(AVERAGE(K174:K176),4)</f>
        <v>7.7299999999999994E-2</v>
      </c>
      <c r="L178" s="234"/>
      <c r="M178" s="233">
        <f>ROUND(AVERAGE(M174:M176),4)</f>
        <v>2.9100000000000001E-2</v>
      </c>
      <c r="N178" s="235"/>
      <c r="O178" s="233">
        <f>ROUND(AVERAGE(O174:O176),4)</f>
        <v>8.3799999999999999E-2</v>
      </c>
      <c r="P178" s="235"/>
      <c r="Q178" s="233">
        <f>ROUND(AVERAGE(Q174:Q176),4)</f>
        <v>0.12839999999999999</v>
      </c>
      <c r="R178" s="235"/>
      <c r="S178" s="233">
        <f>ROUND(AVERAGE(S174:S176),4)</f>
        <v>8.8400000000000006E-2</v>
      </c>
      <c r="T178" s="235"/>
      <c r="U178" s="233">
        <f>ROUND(AVERAGE(U174:U176),4)</f>
        <v>0.48430000000000001</v>
      </c>
      <c r="V178" s="236"/>
      <c r="W178" s="235"/>
      <c r="X178" s="250"/>
      <c r="Y178" s="235"/>
      <c r="Z178" s="250"/>
      <c r="AA178" s="235"/>
      <c r="AB178" s="235"/>
      <c r="AC178" s="235"/>
      <c r="AD178" s="235"/>
      <c r="AE178" s="233">
        <f>ROUND(AVERAGE(AE174:AE176),4)</f>
        <v>2.5000000000000001E-3</v>
      </c>
      <c r="AF178" s="101"/>
      <c r="AG178" s="89"/>
      <c r="AH178" s="89"/>
      <c r="AI178" s="101"/>
      <c r="AJ178" s="101"/>
      <c r="AK178" s="101"/>
      <c r="AL178" s="101"/>
      <c r="AM178" s="419"/>
      <c r="AN178" s="16"/>
      <c r="AO178" s="16"/>
      <c r="AU178" s="427"/>
      <c r="BD178" s="427"/>
    </row>
    <row r="179" spans="1:69" ht="15.75" x14ac:dyDescent="0.25">
      <c r="I179" s="242" t="s">
        <v>173</v>
      </c>
      <c r="J179" s="232"/>
      <c r="K179" s="232" t="s">
        <v>174</v>
      </c>
      <c r="L179" s="232"/>
      <c r="M179" s="232" t="s">
        <v>175</v>
      </c>
      <c r="N179" s="231"/>
      <c r="O179" s="232" t="s">
        <v>175</v>
      </c>
      <c r="P179" s="231"/>
      <c r="Q179" s="232" t="s">
        <v>176</v>
      </c>
      <c r="R179" s="231"/>
      <c r="S179" s="232" t="s">
        <v>177</v>
      </c>
      <c r="T179" s="231"/>
      <c r="U179" s="246" t="s">
        <v>178</v>
      </c>
      <c r="V179" s="237"/>
      <c r="W179" s="237"/>
      <c r="X179" s="237"/>
      <c r="Y179" s="237"/>
      <c r="Z179" s="240"/>
      <c r="AA179" s="240"/>
      <c r="AB179" s="240"/>
      <c r="AC179" s="237"/>
      <c r="AD179" s="237"/>
      <c r="AE179" s="232" t="s">
        <v>179</v>
      </c>
      <c r="AG179" s="114"/>
      <c r="AH179" s="114"/>
      <c r="AI179" s="45"/>
      <c r="AJ179" s="45"/>
      <c r="AK179" s="45"/>
      <c r="AL179" s="45"/>
      <c r="AM179" s="416"/>
      <c r="AN179" s="45"/>
      <c r="AO179" s="45"/>
    </row>
    <row r="182" spans="1:69" s="6" customFormat="1" ht="15.75" x14ac:dyDescent="0.25">
      <c r="A182" s="40"/>
      <c r="C182" s="131" t="s">
        <v>101</v>
      </c>
      <c r="D182" s="132"/>
      <c r="E182" s="133"/>
      <c r="I182" s="146"/>
      <c r="J182" s="147"/>
      <c r="T182" s="148"/>
      <c r="U182" s="147"/>
      <c r="V182" s="148"/>
      <c r="W182" s="5"/>
      <c r="X182" s="5"/>
      <c r="Y182" s="5"/>
      <c r="Z182" s="5"/>
      <c r="AA182" s="5"/>
      <c r="AB182" s="5"/>
      <c r="AC182" s="5"/>
      <c r="AD182" s="5"/>
      <c r="AE182" s="5"/>
      <c r="AM182" s="400"/>
      <c r="AU182" s="400"/>
      <c r="BD182" s="400"/>
    </row>
    <row r="183" spans="1:69" s="6" customFormat="1" ht="25.5" x14ac:dyDescent="0.2">
      <c r="A183" s="42" t="s">
        <v>8</v>
      </c>
      <c r="B183" s="43"/>
      <c r="C183" s="44"/>
      <c r="E183" s="20"/>
      <c r="G183" s="7" t="s">
        <v>1</v>
      </c>
      <c r="I183" s="81" t="s">
        <v>13</v>
      </c>
      <c r="K183" s="7" t="s">
        <v>10</v>
      </c>
      <c r="M183" s="7" t="s">
        <v>11</v>
      </c>
      <c r="N183" s="20"/>
      <c r="O183" s="7" t="s">
        <v>12</v>
      </c>
      <c r="P183" s="20"/>
      <c r="Q183" s="109" t="s">
        <v>82</v>
      </c>
      <c r="R183" s="20"/>
      <c r="S183" s="7" t="s">
        <v>81</v>
      </c>
      <c r="T183" s="20"/>
      <c r="U183" s="20"/>
      <c r="V183" s="20"/>
      <c r="W183" s="5"/>
      <c r="X183" s="5"/>
      <c r="Y183" s="5"/>
      <c r="Z183" s="5"/>
      <c r="AA183" s="5"/>
      <c r="AB183" s="5"/>
      <c r="AC183" s="5"/>
      <c r="AD183" s="5"/>
      <c r="AE183" s="5"/>
      <c r="AF183" s="20"/>
      <c r="AG183" s="20"/>
      <c r="AH183" s="20"/>
      <c r="AI183" s="134"/>
      <c r="AJ183" s="134"/>
      <c r="AK183" s="134"/>
      <c r="AL183" s="134"/>
      <c r="AM183" s="415"/>
      <c r="AN183" s="20"/>
      <c r="AO183" s="20"/>
      <c r="AP183" s="20"/>
      <c r="AQ183" s="20"/>
      <c r="AR183" s="20"/>
      <c r="AS183" s="20"/>
      <c r="AT183" s="20"/>
      <c r="AU183" s="428"/>
      <c r="AV183" s="20"/>
      <c r="AW183" s="20"/>
      <c r="AX183" s="20"/>
      <c r="AY183" s="20"/>
      <c r="AZ183" s="20"/>
      <c r="BA183" s="20"/>
      <c r="BB183" s="20"/>
      <c r="BC183" s="20"/>
      <c r="BD183" s="428"/>
      <c r="BE183" s="20"/>
      <c r="BF183" s="20"/>
      <c r="BG183" s="20"/>
      <c r="BH183" s="20"/>
      <c r="BI183" s="20"/>
      <c r="BJ183" s="20"/>
      <c r="BK183" s="20"/>
      <c r="BL183" s="20"/>
      <c r="BM183" s="20"/>
      <c r="BN183" s="20"/>
      <c r="BO183" s="20"/>
      <c r="BP183" s="20"/>
      <c r="BQ183" s="20"/>
    </row>
    <row r="184" spans="1:69" x14ac:dyDescent="0.2">
      <c r="G184" s="45"/>
      <c r="H184" s="45"/>
      <c r="I184" s="46"/>
      <c r="U184" s="45"/>
      <c r="X184" s="5"/>
      <c r="Z184" s="5"/>
      <c r="AA184" s="5"/>
      <c r="AB184" s="5"/>
      <c r="AF184" s="45"/>
      <c r="AG184" s="114"/>
      <c r="AH184" s="114"/>
      <c r="AI184" s="45"/>
      <c r="AJ184" s="45"/>
      <c r="AK184" s="45"/>
      <c r="AL184" s="45"/>
      <c r="AM184" s="416"/>
      <c r="AN184" s="45"/>
      <c r="AO184" s="45"/>
      <c r="AP184" s="45"/>
      <c r="AQ184" s="45"/>
      <c r="AR184" s="45"/>
      <c r="AS184" s="45"/>
      <c r="AT184" s="45"/>
      <c r="AU184" s="416"/>
      <c r="AV184" s="45"/>
      <c r="AW184" s="45"/>
      <c r="AX184" s="45"/>
      <c r="AY184" s="45"/>
      <c r="AZ184" s="45"/>
      <c r="BA184" s="45"/>
      <c r="BB184" s="45"/>
      <c r="BC184" s="45"/>
      <c r="BD184" s="416"/>
      <c r="BE184" s="45"/>
      <c r="BF184" s="45"/>
      <c r="BG184" s="45"/>
      <c r="BH184" s="45"/>
      <c r="BI184" s="45"/>
      <c r="BJ184" s="45"/>
      <c r="BK184" s="45"/>
      <c r="BL184" s="45"/>
      <c r="BM184" s="45"/>
      <c r="BN184" s="45"/>
      <c r="BO184" s="45"/>
      <c r="BP184" s="45"/>
      <c r="BQ184" s="45"/>
    </row>
    <row r="185" spans="1:69" s="3" customFormat="1" x14ac:dyDescent="0.2">
      <c r="A185" s="19"/>
      <c r="C185" s="2" t="s">
        <v>2</v>
      </c>
      <c r="D185" s="10"/>
      <c r="E185" s="3" t="s">
        <v>3</v>
      </c>
      <c r="G185" s="82">
        <f>SUM(I185:AG185)</f>
        <v>2016666349.01</v>
      </c>
      <c r="H185" s="46"/>
      <c r="I185" s="110"/>
      <c r="J185" s="8"/>
      <c r="K185" s="110">
        <f>K10</f>
        <v>580194446.90999997</v>
      </c>
      <c r="L185" s="8"/>
      <c r="M185" s="110">
        <f>M10</f>
        <v>246846679.05000001</v>
      </c>
      <c r="N185" s="46"/>
      <c r="O185" s="110">
        <f>O10</f>
        <v>615843381.10000002</v>
      </c>
      <c r="P185" s="46"/>
      <c r="Q185" s="110"/>
      <c r="R185" s="46"/>
      <c r="S185" s="110">
        <f>S10</f>
        <v>573781841.95000005</v>
      </c>
      <c r="T185" s="46"/>
      <c r="U185" s="46"/>
      <c r="V185" s="46"/>
      <c r="W185" s="5"/>
      <c r="X185" s="5"/>
      <c r="Y185" s="5"/>
      <c r="Z185" s="5"/>
      <c r="AA185" s="5"/>
      <c r="AB185" s="5"/>
      <c r="AC185" s="5"/>
      <c r="AD185" s="5"/>
      <c r="AE185" s="5"/>
      <c r="AF185" s="94"/>
      <c r="AG185" s="46"/>
      <c r="AH185" s="46"/>
      <c r="AI185" s="46"/>
      <c r="AJ185" s="46"/>
      <c r="AK185" s="46"/>
      <c r="AL185" s="46"/>
      <c r="AM185" s="417"/>
      <c r="AN185" s="94"/>
      <c r="AO185" s="94"/>
      <c r="AP185" s="94"/>
      <c r="AQ185" s="94"/>
      <c r="AR185" s="94"/>
      <c r="AS185" s="94"/>
      <c r="AT185" s="94"/>
      <c r="AU185" s="429"/>
      <c r="AV185" s="94"/>
      <c r="AW185" s="94"/>
      <c r="AX185" s="94"/>
      <c r="AY185" s="94"/>
      <c r="AZ185" s="94"/>
      <c r="BA185" s="94"/>
      <c r="BB185" s="94"/>
      <c r="BC185" s="94"/>
      <c r="BD185" s="429"/>
      <c r="BE185" s="94"/>
      <c r="BF185" s="94"/>
      <c r="BG185" s="94"/>
      <c r="BH185" s="94"/>
      <c r="BI185" s="94"/>
      <c r="BJ185" s="94"/>
      <c r="BK185" s="94"/>
      <c r="BL185" s="94"/>
      <c r="BM185" s="94"/>
      <c r="BN185" s="94"/>
      <c r="BO185" s="94"/>
      <c r="BP185" s="94"/>
      <c r="BQ185" s="94"/>
    </row>
    <row r="186" spans="1:69" s="3" customFormat="1" x14ac:dyDescent="0.2">
      <c r="A186" s="19"/>
      <c r="C186" s="3" t="s">
        <v>4</v>
      </c>
      <c r="D186" s="10"/>
      <c r="E186" s="3" t="s">
        <v>5</v>
      </c>
      <c r="G186" s="83">
        <f>SUM(I186:AG186)</f>
        <v>845701.33333333337</v>
      </c>
      <c r="H186" s="46"/>
      <c r="I186" s="111"/>
      <c r="J186" s="8"/>
      <c r="K186" s="110">
        <f>K11</f>
        <v>249509.25</v>
      </c>
      <c r="L186" s="8"/>
      <c r="M186" s="110">
        <f>M11</f>
        <v>74383.416666666672</v>
      </c>
      <c r="N186" s="46"/>
      <c r="O186" s="110">
        <f>O11</f>
        <v>273973.91666666669</v>
      </c>
      <c r="P186" s="46"/>
      <c r="Q186" s="110"/>
      <c r="R186" s="46"/>
      <c r="S186" s="110">
        <f>S11</f>
        <v>247834.75</v>
      </c>
      <c r="T186" s="46"/>
      <c r="U186" s="46"/>
      <c r="V186" s="46"/>
      <c r="W186" s="5"/>
      <c r="X186" s="5"/>
      <c r="Y186" s="5"/>
      <c r="Z186" s="5"/>
      <c r="AA186" s="5"/>
      <c r="AB186" s="5"/>
      <c r="AC186" s="5"/>
      <c r="AD186" s="5"/>
      <c r="AE186" s="5"/>
      <c r="AF186" s="94"/>
      <c r="AG186" s="46"/>
      <c r="AH186" s="46"/>
      <c r="AI186" s="46"/>
      <c r="AJ186" s="46"/>
      <c r="AK186" s="46"/>
      <c r="AL186" s="46"/>
      <c r="AM186" s="417"/>
      <c r="AN186" s="94"/>
      <c r="AO186" s="94"/>
      <c r="AP186" s="94"/>
      <c r="AQ186" s="94"/>
      <c r="AR186" s="94"/>
      <c r="AS186" s="94"/>
      <c r="AT186" s="94"/>
      <c r="AU186" s="429"/>
      <c r="AV186" s="94"/>
      <c r="AW186" s="94"/>
      <c r="AX186" s="94"/>
      <c r="AY186" s="94"/>
      <c r="AZ186" s="94"/>
      <c r="BA186" s="94"/>
      <c r="BB186" s="94"/>
      <c r="BC186" s="94"/>
      <c r="BD186" s="429"/>
      <c r="BE186" s="94"/>
      <c r="BF186" s="94"/>
      <c r="BG186" s="94"/>
      <c r="BH186" s="94"/>
      <c r="BI186" s="94"/>
      <c r="BJ186" s="94"/>
      <c r="BK186" s="94"/>
      <c r="BL186" s="94"/>
      <c r="BM186" s="94"/>
      <c r="BN186" s="94"/>
      <c r="BO186" s="94"/>
      <c r="BP186" s="94"/>
      <c r="BQ186" s="94"/>
    </row>
    <row r="187" spans="1:69" s="3" customFormat="1" x14ac:dyDescent="0.2">
      <c r="A187" s="19"/>
      <c r="C187" s="2" t="s">
        <v>15</v>
      </c>
      <c r="D187" s="10"/>
      <c r="E187" s="3" t="s">
        <v>3</v>
      </c>
      <c r="G187" s="82">
        <f>SUM(I187:AG187)</f>
        <v>89827476.870000005</v>
      </c>
      <c r="H187" s="46"/>
      <c r="I187" s="111"/>
      <c r="J187" s="8"/>
      <c r="K187" s="110">
        <f>K12</f>
        <v>26613522.739999998</v>
      </c>
      <c r="L187" s="8"/>
      <c r="M187" s="111">
        <f>M12</f>
        <v>8773969.5999999996</v>
      </c>
      <c r="N187" s="46"/>
      <c r="O187" s="111">
        <f>O12</f>
        <v>23385584.489999998</v>
      </c>
      <c r="P187" s="46"/>
      <c r="Q187" s="110"/>
      <c r="R187" s="46"/>
      <c r="S187" s="110">
        <f>S12</f>
        <v>31054400.039999999</v>
      </c>
      <c r="T187" s="46"/>
      <c r="U187" s="46"/>
      <c r="V187" s="46"/>
      <c r="W187" s="5"/>
      <c r="X187" s="5"/>
      <c r="Y187" s="5"/>
      <c r="Z187" s="5"/>
      <c r="AA187" s="5"/>
      <c r="AB187" s="5"/>
      <c r="AC187" s="5"/>
      <c r="AD187" s="5"/>
      <c r="AE187" s="5"/>
      <c r="AF187" s="94"/>
      <c r="AG187" s="46"/>
      <c r="AH187" s="46"/>
      <c r="AI187" s="46"/>
      <c r="AJ187" s="46"/>
      <c r="AK187" s="46"/>
      <c r="AL187" s="46"/>
      <c r="AM187" s="417"/>
      <c r="AN187" s="94"/>
      <c r="AO187" s="94"/>
      <c r="AP187" s="94"/>
      <c r="AQ187" s="94"/>
      <c r="AR187" s="94"/>
      <c r="AS187" s="94"/>
      <c r="AT187" s="94"/>
      <c r="AU187" s="429"/>
      <c r="AV187" s="94"/>
      <c r="AW187" s="94"/>
      <c r="AX187" s="94"/>
      <c r="AY187" s="94"/>
      <c r="AZ187" s="94"/>
      <c r="BA187" s="94"/>
      <c r="BB187" s="94"/>
      <c r="BC187" s="94"/>
      <c r="BD187" s="429"/>
      <c r="BE187" s="94"/>
      <c r="BF187" s="94"/>
      <c r="BG187" s="94"/>
      <c r="BH187" s="94"/>
      <c r="BI187" s="94"/>
      <c r="BJ187" s="94"/>
      <c r="BK187" s="94"/>
      <c r="BL187" s="94"/>
      <c r="BM187" s="94"/>
      <c r="BN187" s="94"/>
      <c r="BO187" s="94"/>
      <c r="BP187" s="94"/>
      <c r="BQ187" s="94"/>
    </row>
    <row r="188" spans="1:69" s="3" customFormat="1" x14ac:dyDescent="0.2">
      <c r="A188" s="19"/>
      <c r="C188" s="47" t="s">
        <v>16</v>
      </c>
      <c r="D188" s="10"/>
      <c r="G188" s="48"/>
      <c r="H188" s="8"/>
      <c r="I188" s="1"/>
      <c r="J188" s="4"/>
      <c r="K188" s="1"/>
      <c r="L188" s="4"/>
      <c r="M188" s="1"/>
      <c r="N188" s="1"/>
      <c r="O188" s="1"/>
      <c r="P188" s="1"/>
      <c r="Q188" s="1"/>
      <c r="R188" s="1"/>
      <c r="S188" s="1"/>
      <c r="T188" s="1"/>
      <c r="U188" s="1"/>
      <c r="V188" s="1"/>
      <c r="W188" s="5"/>
      <c r="X188" s="5"/>
      <c r="Y188" s="5"/>
      <c r="Z188" s="5"/>
      <c r="AA188" s="5"/>
      <c r="AB188" s="5"/>
      <c r="AC188" s="5"/>
      <c r="AD188" s="5"/>
      <c r="AE188" s="5"/>
      <c r="AF188" s="94"/>
      <c r="AG188" s="94"/>
      <c r="AH188" s="94"/>
      <c r="AI188" s="1"/>
      <c r="AJ188" s="1"/>
      <c r="AK188" s="1"/>
      <c r="AL188" s="1"/>
      <c r="AM188" s="418"/>
      <c r="AN188" s="94"/>
      <c r="AO188" s="94"/>
      <c r="AP188" s="94"/>
      <c r="AQ188" s="94"/>
      <c r="AR188" s="94"/>
      <c r="AS188" s="94"/>
      <c r="AT188" s="94"/>
      <c r="AU188" s="429"/>
      <c r="AV188" s="94"/>
      <c r="AW188" s="94"/>
      <c r="AX188" s="94"/>
      <c r="AY188" s="94"/>
      <c r="AZ188" s="94"/>
      <c r="BA188" s="94"/>
      <c r="BB188" s="94"/>
      <c r="BC188" s="94"/>
      <c r="BD188" s="429"/>
      <c r="BE188" s="94"/>
      <c r="BF188" s="94"/>
      <c r="BG188" s="94"/>
      <c r="BH188" s="94"/>
      <c r="BI188" s="94"/>
      <c r="BJ188" s="94"/>
      <c r="BK188" s="94"/>
      <c r="BL188" s="94"/>
      <c r="BM188" s="94"/>
      <c r="BN188" s="94"/>
      <c r="BO188" s="94"/>
      <c r="BP188" s="94"/>
      <c r="BQ188" s="94"/>
    </row>
    <row r="189" spans="1:69" x14ac:dyDescent="0.2">
      <c r="A189" s="49" t="s">
        <v>9</v>
      </c>
      <c r="B189" s="44"/>
      <c r="D189" s="10"/>
      <c r="G189" s="50"/>
      <c r="I189" s="107"/>
      <c r="U189" s="45"/>
      <c r="X189" s="5"/>
      <c r="Z189" s="5"/>
      <c r="AA189" s="5"/>
      <c r="AB189" s="5"/>
      <c r="AF189" s="45"/>
      <c r="AG189" s="114"/>
      <c r="AH189" s="114"/>
      <c r="AI189" s="50"/>
      <c r="AJ189" s="50"/>
      <c r="AK189" s="45"/>
      <c r="AL189" s="45"/>
      <c r="AM189" s="416"/>
      <c r="AN189" s="45"/>
      <c r="AO189" s="45"/>
      <c r="AP189" s="45"/>
      <c r="AQ189" s="45"/>
      <c r="AR189" s="45"/>
      <c r="AS189" s="45"/>
      <c r="AT189" s="45"/>
      <c r="AU189" s="416"/>
      <c r="AV189" s="45"/>
      <c r="AW189" s="45"/>
      <c r="AX189" s="45"/>
      <c r="AY189" s="45"/>
      <c r="AZ189" s="45"/>
      <c r="BA189" s="45"/>
      <c r="BB189" s="45"/>
      <c r="BC189" s="45"/>
      <c r="BD189" s="416"/>
      <c r="BE189" s="45"/>
      <c r="BF189" s="45"/>
      <c r="BG189" s="45"/>
      <c r="BH189" s="45"/>
      <c r="BI189" s="45"/>
      <c r="BJ189" s="45"/>
      <c r="BK189" s="45"/>
      <c r="BL189" s="45"/>
      <c r="BM189" s="45"/>
      <c r="BN189" s="45"/>
      <c r="BO189" s="45"/>
      <c r="BP189" s="45"/>
      <c r="BQ189" s="45"/>
    </row>
    <row r="190" spans="1:69" s="14" customFormat="1" x14ac:dyDescent="0.2">
      <c r="A190" s="19"/>
      <c r="C190" s="2" t="s">
        <v>2</v>
      </c>
      <c r="D190" s="10"/>
      <c r="E190" s="14" t="s">
        <v>6</v>
      </c>
      <c r="G190" s="84">
        <f>SUM(I190:AG190)</f>
        <v>1</v>
      </c>
      <c r="H190" s="85"/>
      <c r="I190" s="84">
        <f>ROUND(I185/$G185,4)</f>
        <v>0</v>
      </c>
      <c r="J190" s="85"/>
      <c r="K190" s="84">
        <f>1-SUM(M190:BF190)</f>
        <v>0.28770000000000007</v>
      </c>
      <c r="L190" s="85"/>
      <c r="M190" s="84">
        <f>ROUND(M185/$G185,4)</f>
        <v>0.12239999999999999</v>
      </c>
      <c r="N190" s="88"/>
      <c r="O190" s="84">
        <f>ROUND(O185/$G185,4)</f>
        <v>0.3054</v>
      </c>
      <c r="P190" s="88"/>
      <c r="Q190" s="84">
        <f>ROUND(Q185/$G185,4)</f>
        <v>0</v>
      </c>
      <c r="R190" s="88"/>
      <c r="S190" s="84">
        <f>ROUND(S185/$G185,4)</f>
        <v>0.28449999999999998</v>
      </c>
      <c r="T190" s="88"/>
      <c r="U190" s="88"/>
      <c r="V190" s="88"/>
      <c r="W190" s="5"/>
      <c r="X190" s="5"/>
      <c r="Y190" s="5"/>
      <c r="Z190" s="5"/>
      <c r="AA190" s="5"/>
      <c r="AB190" s="5"/>
      <c r="AC190" s="5"/>
      <c r="AD190" s="5"/>
      <c r="AE190" s="5"/>
      <c r="AF190" s="16"/>
      <c r="AG190" s="16"/>
      <c r="AH190" s="16"/>
      <c r="AI190" s="88"/>
      <c r="AJ190" s="88"/>
      <c r="AK190" s="88"/>
      <c r="AL190" s="88"/>
      <c r="AM190" s="406"/>
      <c r="AN190" s="16"/>
      <c r="AO190" s="16"/>
      <c r="AP190" s="16"/>
      <c r="AQ190" s="16"/>
      <c r="AR190" s="16"/>
      <c r="AS190" s="16"/>
      <c r="AT190" s="16"/>
      <c r="AU190" s="430"/>
      <c r="AV190" s="16"/>
      <c r="AW190" s="16"/>
      <c r="AX190" s="16"/>
      <c r="AY190" s="16"/>
      <c r="AZ190" s="16"/>
      <c r="BA190" s="16"/>
      <c r="BB190" s="16"/>
      <c r="BC190" s="16"/>
      <c r="BD190" s="430"/>
      <c r="BE190" s="16"/>
      <c r="BF190" s="16"/>
      <c r="BG190" s="16"/>
      <c r="BH190" s="16"/>
      <c r="BI190" s="16"/>
      <c r="BJ190" s="16"/>
      <c r="BK190" s="16"/>
      <c r="BL190" s="16"/>
      <c r="BM190" s="16"/>
      <c r="BN190" s="16"/>
      <c r="BO190" s="16"/>
      <c r="BP190" s="16"/>
      <c r="BQ190" s="16"/>
    </row>
    <row r="191" spans="1:69" s="14" customFormat="1" x14ac:dyDescent="0.2">
      <c r="A191" s="19"/>
      <c r="C191" s="3" t="s">
        <v>4</v>
      </c>
      <c r="D191" s="10"/>
      <c r="E191" s="14" t="s">
        <v>6</v>
      </c>
      <c r="G191" s="87">
        <f>SUM(I191:AG191)</f>
        <v>0.99999999999999989</v>
      </c>
      <c r="H191" s="85"/>
      <c r="I191" s="84">
        <f>ROUND(I186/$G186,4)</f>
        <v>0</v>
      </c>
      <c r="J191" s="85"/>
      <c r="K191" s="84">
        <f>1-SUM(M191:AK191)</f>
        <v>0.29489999999999994</v>
      </c>
      <c r="L191" s="85"/>
      <c r="M191" s="84">
        <f>ROUND(M186/$G186,4)</f>
        <v>8.7999999999999995E-2</v>
      </c>
      <c r="N191" s="88"/>
      <c r="O191" s="84">
        <f>ROUND(O186/$G186,4)</f>
        <v>0.32400000000000001</v>
      </c>
      <c r="P191" s="88"/>
      <c r="Q191" s="84">
        <f>ROUND(Q186/$G186,4)</f>
        <v>0</v>
      </c>
      <c r="R191" s="88"/>
      <c r="S191" s="84">
        <f>ROUND(S186/$G186,4)</f>
        <v>0.29310000000000003</v>
      </c>
      <c r="T191" s="88"/>
      <c r="U191" s="88"/>
      <c r="V191" s="88"/>
      <c r="W191" s="5"/>
      <c r="X191" s="5"/>
      <c r="Y191" s="5"/>
      <c r="Z191" s="5"/>
      <c r="AA191" s="5"/>
      <c r="AB191" s="5"/>
      <c r="AC191" s="5"/>
      <c r="AD191" s="5"/>
      <c r="AE191" s="5"/>
      <c r="AF191" s="16"/>
      <c r="AG191" s="16"/>
      <c r="AH191" s="16"/>
      <c r="AI191" s="88"/>
      <c r="AJ191" s="88"/>
      <c r="AK191" s="88"/>
      <c r="AL191" s="88"/>
      <c r="AM191" s="406"/>
      <c r="AN191" s="16"/>
      <c r="AO191" s="16"/>
      <c r="AP191" s="16"/>
      <c r="AQ191" s="16"/>
      <c r="AR191" s="16"/>
      <c r="AS191" s="16"/>
      <c r="AT191" s="16"/>
      <c r="AU191" s="430"/>
      <c r="AV191" s="16"/>
      <c r="AW191" s="16"/>
      <c r="AX191" s="16"/>
      <c r="AY191" s="16"/>
      <c r="AZ191" s="16"/>
      <c r="BA191" s="16"/>
      <c r="BB191" s="16"/>
      <c r="BC191" s="16"/>
      <c r="BD191" s="430"/>
      <c r="BE191" s="16"/>
      <c r="BF191" s="16"/>
      <c r="BG191" s="16"/>
      <c r="BH191" s="16"/>
      <c r="BI191" s="16"/>
      <c r="BJ191" s="16"/>
      <c r="BK191" s="16"/>
      <c r="BL191" s="16"/>
      <c r="BM191" s="16"/>
      <c r="BN191" s="16"/>
      <c r="BO191" s="16"/>
      <c r="BP191" s="16"/>
      <c r="BQ191" s="16"/>
    </row>
    <row r="192" spans="1:69" s="14" customFormat="1" x14ac:dyDescent="0.2">
      <c r="A192" s="19"/>
      <c r="C192" s="2" t="s">
        <v>7</v>
      </c>
      <c r="D192" s="10"/>
      <c r="E192" s="14" t="s">
        <v>6</v>
      </c>
      <c r="G192" s="87">
        <f>SUM(I192:AG192)</f>
        <v>1</v>
      </c>
      <c r="H192" s="85"/>
      <c r="I192" s="84">
        <f>ROUND(I187/$G187,4)</f>
        <v>0</v>
      </c>
      <c r="J192" s="85"/>
      <c r="K192" s="84">
        <f>1-SUM(M192:AK192)</f>
        <v>0.29630000000000001</v>
      </c>
      <c r="L192" s="85"/>
      <c r="M192" s="84">
        <f>ROUND(M187/$G187,4)</f>
        <v>9.7699999999999995E-2</v>
      </c>
      <c r="N192" s="88"/>
      <c r="O192" s="84">
        <f>ROUND(O187/$G187,4)</f>
        <v>0.26029999999999998</v>
      </c>
      <c r="P192" s="88"/>
      <c r="Q192" s="84">
        <f>ROUND(Q187/$G187,4)</f>
        <v>0</v>
      </c>
      <c r="R192" s="88"/>
      <c r="S192" s="84">
        <f>ROUND(S187/$G187,4)</f>
        <v>0.34570000000000001</v>
      </c>
      <c r="T192" s="88"/>
      <c r="U192" s="88"/>
      <c r="V192" s="88"/>
      <c r="W192" s="5"/>
      <c r="X192" s="5"/>
      <c r="Y192" s="5"/>
      <c r="Z192" s="5"/>
      <c r="AA192" s="5"/>
      <c r="AB192" s="5"/>
      <c r="AC192" s="5"/>
      <c r="AD192" s="5"/>
      <c r="AE192" s="5"/>
      <c r="AF192" s="16"/>
      <c r="AG192" s="16"/>
      <c r="AH192" s="16"/>
      <c r="AI192" s="88"/>
      <c r="AJ192" s="88"/>
      <c r="AK192" s="88"/>
      <c r="AL192" s="88"/>
      <c r="AM192" s="406"/>
      <c r="AN192" s="16"/>
      <c r="AO192" s="16"/>
      <c r="AP192" s="16"/>
      <c r="AQ192" s="16"/>
      <c r="AR192" s="16"/>
      <c r="AS192" s="16"/>
      <c r="AT192" s="16"/>
      <c r="AU192" s="430"/>
      <c r="AV192" s="16"/>
      <c r="AW192" s="16"/>
      <c r="AX192" s="16"/>
      <c r="AY192" s="16"/>
      <c r="AZ192" s="16"/>
      <c r="BA192" s="16"/>
      <c r="BB192" s="16"/>
      <c r="BC192" s="16"/>
      <c r="BD192" s="430"/>
      <c r="BE192" s="16"/>
      <c r="BF192" s="16"/>
      <c r="BG192" s="16"/>
      <c r="BH192" s="16"/>
      <c r="BI192" s="16"/>
      <c r="BJ192" s="16"/>
      <c r="BK192" s="16"/>
      <c r="BL192" s="16"/>
      <c r="BM192" s="16"/>
      <c r="BN192" s="16"/>
      <c r="BO192" s="16"/>
      <c r="BP192" s="16"/>
      <c r="BQ192" s="16"/>
    </row>
    <row r="193" spans="1:69" s="14" customFormat="1" x14ac:dyDescent="0.2">
      <c r="A193" s="19"/>
      <c r="C193" s="51"/>
      <c r="D193" s="10"/>
      <c r="G193" s="88"/>
      <c r="H193" s="88"/>
      <c r="I193" s="88"/>
      <c r="J193" s="88"/>
      <c r="K193" s="88"/>
      <c r="L193" s="88"/>
      <c r="M193" s="88"/>
      <c r="N193" s="88"/>
      <c r="O193" s="88"/>
      <c r="P193" s="88"/>
      <c r="Q193" s="88"/>
      <c r="R193" s="88"/>
      <c r="S193" s="88"/>
      <c r="T193" s="88"/>
      <c r="U193" s="88"/>
      <c r="V193" s="88"/>
      <c r="W193" s="5"/>
      <c r="X193" s="5"/>
      <c r="Y193" s="5"/>
      <c r="Z193" s="5"/>
      <c r="AA193" s="5"/>
      <c r="AB193" s="5"/>
      <c r="AC193" s="5"/>
      <c r="AD193" s="5"/>
      <c r="AE193" s="5"/>
      <c r="AF193" s="16"/>
      <c r="AG193" s="16"/>
      <c r="AH193" s="16"/>
      <c r="AI193" s="88"/>
      <c r="AJ193" s="88"/>
      <c r="AK193" s="88"/>
      <c r="AL193" s="88"/>
      <c r="AM193" s="406"/>
      <c r="AN193" s="16"/>
      <c r="AO193" s="16"/>
      <c r="AP193" s="16"/>
      <c r="AQ193" s="16"/>
      <c r="AR193" s="16"/>
      <c r="AS193" s="16"/>
      <c r="AT193" s="16"/>
      <c r="AU193" s="430"/>
      <c r="AV193" s="16"/>
      <c r="AW193" s="16"/>
      <c r="AX193" s="16"/>
      <c r="AY193" s="16"/>
      <c r="AZ193" s="16"/>
      <c r="BA193" s="16"/>
      <c r="BB193" s="16"/>
      <c r="BC193" s="16"/>
      <c r="BD193" s="430"/>
      <c r="BE193" s="16"/>
      <c r="BF193" s="16"/>
      <c r="BG193" s="16"/>
      <c r="BH193" s="16"/>
      <c r="BI193" s="16"/>
      <c r="BJ193" s="16"/>
      <c r="BK193" s="16"/>
      <c r="BL193" s="16"/>
      <c r="BM193" s="16"/>
      <c r="BN193" s="16"/>
      <c r="BO193" s="16"/>
      <c r="BP193" s="16"/>
      <c r="BQ193" s="16"/>
    </row>
    <row r="194" spans="1:69" s="14" customFormat="1" x14ac:dyDescent="0.2">
      <c r="A194" s="19"/>
      <c r="C194" s="119" t="str">
        <f>C19</f>
        <v>Total Composite Factor for FY 2017</v>
      </c>
      <c r="D194" s="10"/>
      <c r="E194" s="14" t="s">
        <v>6</v>
      </c>
      <c r="G194" s="84">
        <f>SUM(I194:AG194)</f>
        <v>1</v>
      </c>
      <c r="H194" s="85"/>
      <c r="I194" s="99">
        <f>ROUND(AVERAGE(I190:I192),4)</f>
        <v>0</v>
      </c>
      <c r="J194" s="100"/>
      <c r="K194" s="247">
        <f>1-SUM(M194:AK194)</f>
        <v>0.29289999999999994</v>
      </c>
      <c r="L194" s="234"/>
      <c r="M194" s="233">
        <f>ROUND(AVERAGE(M190:M192),4)</f>
        <v>0.1027</v>
      </c>
      <c r="N194" s="235"/>
      <c r="O194" s="233">
        <f>ROUND(AVERAGE(O190:O192),4)</f>
        <v>0.29659999999999997</v>
      </c>
      <c r="P194" s="235"/>
      <c r="Q194" s="233">
        <f>ROUND(AVERAGE(Q190:Q192),4)</f>
        <v>0</v>
      </c>
      <c r="R194" s="235"/>
      <c r="S194" s="233">
        <f>ROUND(AVERAGE(S190:S192),4)</f>
        <v>0.30780000000000002</v>
      </c>
      <c r="T194" s="101"/>
      <c r="U194" s="101"/>
      <c r="V194" s="108"/>
      <c r="W194" s="5"/>
      <c r="X194" s="5"/>
      <c r="Y194" s="5"/>
      <c r="Z194" s="5"/>
      <c r="AA194" s="5"/>
      <c r="AB194" s="5"/>
      <c r="AC194" s="5"/>
      <c r="AD194" s="5"/>
      <c r="AE194" s="5"/>
      <c r="AF194" s="16"/>
      <c r="AG194" s="89"/>
      <c r="AH194" s="89"/>
      <c r="AI194" s="101"/>
      <c r="AJ194" s="101"/>
      <c r="AK194" s="101"/>
      <c r="AL194" s="101"/>
      <c r="AM194" s="419"/>
      <c r="AN194" s="16"/>
      <c r="AO194" s="16"/>
      <c r="AP194" s="16"/>
      <c r="AQ194" s="16"/>
      <c r="AR194" s="16"/>
      <c r="AS194" s="16"/>
      <c r="AT194" s="16"/>
      <c r="AU194" s="430"/>
      <c r="AV194" s="16"/>
      <c r="AW194" s="16"/>
      <c r="AX194" s="16"/>
      <c r="AY194" s="16"/>
      <c r="AZ194" s="16"/>
      <c r="BA194" s="16"/>
      <c r="BB194" s="16"/>
      <c r="BC194" s="16"/>
      <c r="BD194" s="430"/>
      <c r="BE194" s="16"/>
      <c r="BF194" s="16"/>
      <c r="BG194" s="16"/>
      <c r="BH194" s="16"/>
      <c r="BI194" s="16"/>
      <c r="BJ194" s="16"/>
      <c r="BK194" s="16"/>
      <c r="BL194" s="16"/>
      <c r="BM194" s="16"/>
      <c r="BN194" s="16"/>
      <c r="BO194" s="16"/>
      <c r="BP194" s="16"/>
      <c r="BQ194" s="16"/>
    </row>
    <row r="195" spans="1:69" ht="15.75" x14ac:dyDescent="0.25">
      <c r="K195" s="232" t="s">
        <v>169</v>
      </c>
      <c r="L195" s="232"/>
      <c r="M195" s="232" t="s">
        <v>170</v>
      </c>
      <c r="N195" s="231"/>
      <c r="O195" s="232" t="s">
        <v>170</v>
      </c>
      <c r="P195" s="231"/>
      <c r="Q195" s="232"/>
      <c r="R195" s="231"/>
      <c r="S195" s="232" t="s">
        <v>171</v>
      </c>
    </row>
    <row r="199" spans="1:69" ht="15.75" x14ac:dyDescent="0.25">
      <c r="A199" s="40"/>
      <c r="B199" s="6"/>
      <c r="C199" s="144" t="s">
        <v>376</v>
      </c>
      <c r="D199" s="6"/>
      <c r="E199" s="145"/>
      <c r="F199" s="145"/>
      <c r="G199" s="145"/>
      <c r="H199" s="145"/>
      <c r="I199" s="5"/>
      <c r="N199" s="5"/>
      <c r="P199" s="5"/>
      <c r="R199" s="5"/>
      <c r="T199" s="5"/>
      <c r="V199" s="5"/>
      <c r="X199" s="5"/>
      <c r="Z199" s="5"/>
      <c r="AA199" s="5"/>
      <c r="AB199" s="5"/>
    </row>
    <row r="200" spans="1:69" ht="25.5" x14ac:dyDescent="0.2">
      <c r="A200" s="42"/>
      <c r="B200" s="43"/>
      <c r="C200" s="44"/>
      <c r="D200" s="6"/>
      <c r="E200" s="20"/>
      <c r="F200" s="6"/>
      <c r="G200" s="7" t="s">
        <v>1</v>
      </c>
      <c r="H200" s="6"/>
      <c r="I200" s="81" t="s">
        <v>13</v>
      </c>
      <c r="J200" s="6"/>
      <c r="K200" s="7" t="s">
        <v>10</v>
      </c>
      <c r="L200" s="6"/>
      <c r="M200" s="7" t="s">
        <v>11</v>
      </c>
      <c r="N200" s="20"/>
      <c r="O200" s="7" t="s">
        <v>12</v>
      </c>
      <c r="P200" s="20"/>
      <c r="Q200" s="109" t="s">
        <v>82</v>
      </c>
      <c r="R200" s="20"/>
      <c r="S200" s="7" t="s">
        <v>81</v>
      </c>
      <c r="T200" s="20"/>
      <c r="U200" s="7"/>
      <c r="V200" s="20"/>
      <c r="W200" s="134"/>
      <c r="X200" s="20"/>
      <c r="Y200" s="20"/>
      <c r="Z200" s="20"/>
      <c r="AA200" s="134"/>
      <c r="AB200" s="134"/>
      <c r="AC200" s="134"/>
      <c r="AD200" s="134"/>
      <c r="AE200" s="7"/>
    </row>
    <row r="201" spans="1:69" x14ac:dyDescent="0.2">
      <c r="A201" s="200"/>
      <c r="G201" s="45"/>
      <c r="H201" s="45"/>
      <c r="I201" s="46"/>
      <c r="W201" s="45"/>
      <c r="Y201" s="45"/>
      <c r="Z201" s="114"/>
      <c r="AA201" s="114"/>
      <c r="AB201" s="114"/>
      <c r="AC201" s="45"/>
      <c r="AD201" s="45"/>
    </row>
    <row r="202" spans="1:69" x14ac:dyDescent="0.2">
      <c r="A202" s="200"/>
      <c r="B202" s="3"/>
      <c r="C202" s="2" t="s">
        <v>2</v>
      </c>
      <c r="D202" s="10"/>
      <c r="E202" s="3" t="s">
        <v>3</v>
      </c>
      <c r="F202" s="3"/>
      <c r="G202" s="201">
        <f>SUM(I202:AG202)</f>
        <v>3860984337.2200007</v>
      </c>
      <c r="H202" s="46"/>
      <c r="I202" s="110">
        <f>I10</f>
        <v>712017562.00999999</v>
      </c>
      <c r="J202" s="110"/>
      <c r="K202" s="110">
        <f>K10</f>
        <v>580194446.90999997</v>
      </c>
      <c r="L202" s="110"/>
      <c r="M202" s="110">
        <f>M10</f>
        <v>246846679.05000001</v>
      </c>
      <c r="N202" s="110"/>
      <c r="O202" s="110">
        <f>O10</f>
        <v>615843381.10000002</v>
      </c>
      <c r="P202" s="110"/>
      <c r="Q202" s="110">
        <f>Q10</f>
        <v>1108959113.1300001</v>
      </c>
      <c r="R202" s="110"/>
      <c r="S202" s="110">
        <f>S10</f>
        <v>573781841.95000005</v>
      </c>
      <c r="T202" s="110"/>
      <c r="U202" s="110"/>
      <c r="V202" s="110"/>
      <c r="W202" s="110"/>
      <c r="X202" s="110"/>
      <c r="Y202" s="110"/>
      <c r="Z202" s="110"/>
      <c r="AA202" s="110"/>
      <c r="AB202" s="110"/>
      <c r="AC202" s="110"/>
      <c r="AD202" s="110">
        <f t="shared" ref="AD202:AF204" si="4">AD10</f>
        <v>0</v>
      </c>
      <c r="AE202" s="110">
        <f t="shared" si="4"/>
        <v>23341313.07</v>
      </c>
      <c r="AF202" s="110">
        <f t="shared" si="4"/>
        <v>0</v>
      </c>
    </row>
    <row r="203" spans="1:69" x14ac:dyDescent="0.2">
      <c r="A203" s="200"/>
      <c r="B203" s="3"/>
      <c r="C203" s="3" t="s">
        <v>4</v>
      </c>
      <c r="D203" s="10"/>
      <c r="E203" s="3" t="s">
        <v>5</v>
      </c>
      <c r="F203" s="3"/>
      <c r="G203" s="202">
        <f>SUM(I203:AG203)</f>
        <v>1483239.4166666665</v>
      </c>
      <c r="H203" s="46"/>
      <c r="I203" s="110">
        <f>I11</f>
        <v>299655.58333333331</v>
      </c>
      <c r="J203" s="110"/>
      <c r="K203" s="110">
        <f>K11</f>
        <v>249509.25</v>
      </c>
      <c r="L203" s="110"/>
      <c r="M203" s="110">
        <f>M11</f>
        <v>74383.416666666672</v>
      </c>
      <c r="N203" s="110"/>
      <c r="O203" s="110">
        <f>O11</f>
        <v>273973.91666666669</v>
      </c>
      <c r="P203" s="110"/>
      <c r="Q203" s="110">
        <f>Q11</f>
        <v>337869.5</v>
      </c>
      <c r="R203" s="110"/>
      <c r="S203" s="110">
        <f>S11</f>
        <v>247834.75</v>
      </c>
      <c r="T203" s="110"/>
      <c r="U203" s="110"/>
      <c r="V203" s="110"/>
      <c r="W203" s="110"/>
      <c r="X203" s="110"/>
      <c r="Y203" s="110"/>
      <c r="Z203" s="110"/>
      <c r="AA203" s="110"/>
      <c r="AB203" s="110"/>
      <c r="AC203" s="110"/>
      <c r="AD203" s="110">
        <f t="shared" si="4"/>
        <v>0</v>
      </c>
      <c r="AE203" s="110">
        <f t="shared" si="4"/>
        <v>13</v>
      </c>
      <c r="AF203" s="110">
        <f t="shared" si="4"/>
        <v>0</v>
      </c>
    </row>
    <row r="204" spans="1:69" x14ac:dyDescent="0.2">
      <c r="A204" s="200"/>
      <c r="B204" s="3"/>
      <c r="C204" s="2" t="s">
        <v>15</v>
      </c>
      <c r="D204" s="10"/>
      <c r="E204" s="3" t="s">
        <v>3</v>
      </c>
      <c r="F204" s="3"/>
      <c r="G204" s="201">
        <f>SUM(I204:AG204)</f>
        <v>159747498.00999999</v>
      </c>
      <c r="H204" s="46"/>
      <c r="I204" s="110">
        <f>I12</f>
        <v>31254669.100000001</v>
      </c>
      <c r="J204" s="110"/>
      <c r="K204" s="110">
        <f>K12</f>
        <v>26613522.739999998</v>
      </c>
      <c r="L204" s="110"/>
      <c r="M204" s="110">
        <f>M12</f>
        <v>8773969.5999999996</v>
      </c>
      <c r="N204" s="110"/>
      <c r="O204" s="110">
        <f>O12</f>
        <v>23385584.489999998</v>
      </c>
      <c r="P204" s="110"/>
      <c r="Q204" s="110">
        <f>Q12</f>
        <v>37389660.939999998</v>
      </c>
      <c r="R204" s="110"/>
      <c r="S204" s="110">
        <f>S12</f>
        <v>31054400.039999999</v>
      </c>
      <c r="T204" s="110"/>
      <c r="U204" s="110"/>
      <c r="V204" s="110"/>
      <c r="W204" s="110"/>
      <c r="X204" s="110"/>
      <c r="Y204" s="110"/>
      <c r="Z204" s="110"/>
      <c r="AA204" s="110"/>
      <c r="AB204" s="110"/>
      <c r="AC204" s="110"/>
      <c r="AD204" s="110">
        <f t="shared" si="4"/>
        <v>0</v>
      </c>
      <c r="AE204" s="110">
        <f t="shared" si="4"/>
        <v>1275691.1000000001</v>
      </c>
      <c r="AF204" s="110">
        <f t="shared" si="4"/>
        <v>0</v>
      </c>
    </row>
    <row r="205" spans="1:69" x14ac:dyDescent="0.2">
      <c r="A205" s="200"/>
      <c r="B205" s="3"/>
      <c r="C205" s="47" t="s">
        <v>16</v>
      </c>
      <c r="D205" s="10"/>
      <c r="E205" s="3"/>
      <c r="F205" s="3"/>
      <c r="G205" s="48"/>
      <c r="H205" s="8"/>
      <c r="I205" s="1"/>
      <c r="J205" s="4"/>
      <c r="K205" s="1"/>
      <c r="L205" s="4"/>
      <c r="M205" s="1"/>
      <c r="N205" s="1"/>
      <c r="O205" s="1"/>
      <c r="P205" s="1"/>
      <c r="Q205" s="1"/>
      <c r="R205" s="1"/>
      <c r="S205" s="1"/>
      <c r="T205" s="1"/>
      <c r="U205" s="1"/>
      <c r="V205" s="1"/>
      <c r="W205" s="18"/>
      <c r="X205" s="1"/>
      <c r="Y205" s="18"/>
      <c r="Z205" s="94"/>
      <c r="AA205" s="18"/>
      <c r="AB205" s="18"/>
      <c r="AC205" s="18"/>
      <c r="AD205" s="18"/>
      <c r="AE205" s="1"/>
    </row>
    <row r="206" spans="1:69" x14ac:dyDescent="0.2">
      <c r="A206" s="49" t="s">
        <v>9</v>
      </c>
      <c r="B206" s="44"/>
      <c r="D206" s="10"/>
      <c r="G206" s="50"/>
      <c r="I206" s="107"/>
      <c r="W206" s="45"/>
      <c r="Y206" s="45"/>
      <c r="Z206" s="114"/>
      <c r="AA206" s="114"/>
      <c r="AB206" s="114"/>
      <c r="AC206" s="45"/>
      <c r="AD206" s="45"/>
    </row>
    <row r="207" spans="1:69" x14ac:dyDescent="0.2">
      <c r="A207" s="200"/>
      <c r="B207" s="14"/>
      <c r="C207" s="2" t="s">
        <v>2</v>
      </c>
      <c r="D207" s="10"/>
      <c r="E207" s="14" t="s">
        <v>6</v>
      </c>
      <c r="F207" s="14"/>
      <c r="G207" s="84">
        <f>SUM(I207:AG207)</f>
        <v>1</v>
      </c>
      <c r="H207" s="85"/>
      <c r="I207" s="86">
        <f>1-SUM(K207:BF207)</f>
        <v>0.18449999999999989</v>
      </c>
      <c r="J207" s="85"/>
      <c r="K207" s="84">
        <f>ROUND(K202/$G202,4)</f>
        <v>0.15029999999999999</v>
      </c>
      <c r="L207" s="85"/>
      <c r="M207" s="84">
        <f>ROUND(M202/$G202,4)</f>
        <v>6.3899999999999998E-2</v>
      </c>
      <c r="N207" s="88"/>
      <c r="O207" s="84">
        <f>ROUND(O202/$G202,4)</f>
        <v>0.1595</v>
      </c>
      <c r="P207" s="88"/>
      <c r="Q207" s="84">
        <f>ROUND(Q202/$G202,4)</f>
        <v>0.28720000000000001</v>
      </c>
      <c r="R207" s="88"/>
      <c r="S207" s="84">
        <f>ROUND(S202/$G202,4)</f>
        <v>0.14860000000000001</v>
      </c>
      <c r="T207" s="88"/>
      <c r="U207" s="84"/>
      <c r="V207" s="88"/>
      <c r="W207" s="88"/>
      <c r="X207" s="88"/>
      <c r="Y207" s="88"/>
      <c r="Z207" s="16"/>
      <c r="AA207" s="88"/>
      <c r="AB207" s="88"/>
      <c r="AC207" s="88"/>
      <c r="AD207" s="88"/>
      <c r="AE207" s="84">
        <f>ROUND(AE202/$G202,4)</f>
        <v>6.0000000000000001E-3</v>
      </c>
    </row>
    <row r="208" spans="1:69" x14ac:dyDescent="0.2">
      <c r="A208" s="200"/>
      <c r="B208" s="14"/>
      <c r="C208" s="3" t="s">
        <v>4</v>
      </c>
      <c r="D208" s="10"/>
      <c r="E208" s="14" t="s">
        <v>6</v>
      </c>
      <c r="F208" s="14"/>
      <c r="G208" s="87">
        <f>SUM(I208:AG208)</f>
        <v>1</v>
      </c>
      <c r="H208" s="85"/>
      <c r="I208" s="86">
        <f>1-SUM(K208:BF208)</f>
        <v>0.20209999999999995</v>
      </c>
      <c r="J208" s="85"/>
      <c r="K208" s="84">
        <f>ROUND(K203/$G203,4)</f>
        <v>0.16819999999999999</v>
      </c>
      <c r="L208" s="85"/>
      <c r="M208" s="84">
        <f>ROUND(M203/$G203,4)</f>
        <v>5.0099999999999999E-2</v>
      </c>
      <c r="N208" s="88"/>
      <c r="O208" s="84">
        <f>ROUND(O203/$G203,4)</f>
        <v>0.1847</v>
      </c>
      <c r="P208" s="88"/>
      <c r="Q208" s="84">
        <f>ROUND(Q203/$G203,4)</f>
        <v>0.2278</v>
      </c>
      <c r="R208" s="88"/>
      <c r="S208" s="84">
        <f>ROUND(S203/$G203,4)</f>
        <v>0.1671</v>
      </c>
      <c r="T208" s="88"/>
      <c r="U208" s="84"/>
      <c r="V208" s="88"/>
      <c r="W208" s="88"/>
      <c r="X208" s="88"/>
      <c r="Y208" s="88"/>
      <c r="Z208" s="16"/>
      <c r="AA208" s="88"/>
      <c r="AB208" s="88"/>
      <c r="AC208" s="88"/>
      <c r="AD208" s="88"/>
      <c r="AE208" s="84">
        <f>ROUND(AE203/$G203,4)</f>
        <v>0</v>
      </c>
    </row>
    <row r="209" spans="1:31" x14ac:dyDescent="0.2">
      <c r="A209" s="200"/>
      <c r="B209" s="14"/>
      <c r="C209" s="2" t="s">
        <v>7</v>
      </c>
      <c r="D209" s="10"/>
      <c r="E209" s="14" t="s">
        <v>6</v>
      </c>
      <c r="F209" s="14"/>
      <c r="G209" s="87">
        <f>SUM(I209:AG209)</f>
        <v>1</v>
      </c>
      <c r="H209" s="85"/>
      <c r="I209" s="86">
        <f>1-SUM(K209:BF209)</f>
        <v>0.1956</v>
      </c>
      <c r="J209" s="85"/>
      <c r="K209" s="84">
        <f>ROUND(K204/$G204,4)</f>
        <v>0.1666</v>
      </c>
      <c r="L209" s="85"/>
      <c r="M209" s="84">
        <f>ROUND(M204/$G204,4)</f>
        <v>5.4899999999999997E-2</v>
      </c>
      <c r="N209" s="88"/>
      <c r="O209" s="84">
        <f>ROUND(O204/$G204,4)</f>
        <v>0.1464</v>
      </c>
      <c r="P209" s="88"/>
      <c r="Q209" s="84">
        <f>ROUND(Q204/$G204,4)</f>
        <v>0.2341</v>
      </c>
      <c r="R209" s="88"/>
      <c r="S209" s="84">
        <f>ROUND(S204/$G204,4)</f>
        <v>0.19439999999999999</v>
      </c>
      <c r="T209" s="88"/>
      <c r="U209" s="84"/>
      <c r="V209" s="88"/>
      <c r="W209" s="88"/>
      <c r="X209" s="88"/>
      <c r="Y209" s="88"/>
      <c r="Z209" s="16"/>
      <c r="AA209" s="88"/>
      <c r="AB209" s="88"/>
      <c r="AC209" s="88"/>
      <c r="AD209" s="88"/>
      <c r="AE209" s="84">
        <f>ROUND(AE204/$G204,4)</f>
        <v>8.0000000000000002E-3</v>
      </c>
    </row>
    <row r="210" spans="1:31" x14ac:dyDescent="0.2">
      <c r="A210" s="200"/>
      <c r="B210" s="14"/>
      <c r="C210" s="51"/>
      <c r="D210" s="10"/>
      <c r="E210" s="14"/>
      <c r="F210" s="14"/>
      <c r="G210" s="88"/>
      <c r="H210" s="88"/>
      <c r="I210" s="89"/>
      <c r="J210" s="88"/>
      <c r="K210" s="88"/>
      <c r="L210" s="88"/>
      <c r="M210" s="88"/>
      <c r="N210" s="88"/>
      <c r="O210" s="88"/>
      <c r="P210" s="88"/>
      <c r="Q210" s="88"/>
      <c r="R210" s="88"/>
      <c r="S210" s="88"/>
      <c r="T210" s="88"/>
      <c r="U210" s="88"/>
      <c r="V210" s="88"/>
      <c r="W210" s="88"/>
      <c r="X210" s="88"/>
      <c r="Y210" s="88"/>
      <c r="Z210" s="16"/>
      <c r="AA210" s="88"/>
      <c r="AB210" s="88"/>
      <c r="AC210" s="88"/>
      <c r="AD210" s="88"/>
      <c r="AE210" s="88"/>
    </row>
    <row r="211" spans="1:31" x14ac:dyDescent="0.2">
      <c r="A211" s="200"/>
      <c r="B211" s="14"/>
      <c r="C211" s="51">
        <f>C106</f>
        <v>0</v>
      </c>
      <c r="D211" s="10"/>
      <c r="E211" s="14" t="s">
        <v>6</v>
      </c>
      <c r="F211" s="14"/>
      <c r="G211" s="84">
        <f>SUM(I211:AG211)</f>
        <v>1</v>
      </c>
      <c r="H211" s="85"/>
      <c r="I211" s="248">
        <f>1-SUM(K211:BF211)</f>
        <v>0.19409999999999983</v>
      </c>
      <c r="J211" s="249"/>
      <c r="K211" s="248">
        <f>ROUND(AVERAGE(K207:K209),4)</f>
        <v>0.16170000000000001</v>
      </c>
      <c r="L211" s="249"/>
      <c r="M211" s="248">
        <f>ROUND(AVERAGE(M207:M209),4)</f>
        <v>5.6300000000000003E-2</v>
      </c>
      <c r="N211" s="248"/>
      <c r="O211" s="248">
        <f>ROUND(AVERAGE(O207:O209),4)</f>
        <v>0.16350000000000001</v>
      </c>
      <c r="P211" s="248"/>
      <c r="Q211" s="248">
        <f>ROUND(AVERAGE(Q207:Q209),4)</f>
        <v>0.24970000000000001</v>
      </c>
      <c r="R211" s="248"/>
      <c r="S211" s="248">
        <f>ROUND(AVERAGE(S207:S209),4)</f>
        <v>0.17</v>
      </c>
      <c r="T211" s="248"/>
      <c r="U211" s="248"/>
      <c r="V211" s="236"/>
      <c r="W211" s="248"/>
      <c r="X211" s="250"/>
      <c r="Y211" s="248"/>
      <c r="Z211" s="250"/>
      <c r="AA211" s="248"/>
      <c r="AB211" s="248"/>
      <c r="AC211" s="248"/>
      <c r="AD211" s="248"/>
      <c r="AE211" s="248">
        <f>ROUND(AVERAGE(AE207:AE209),4)</f>
        <v>4.7000000000000002E-3</v>
      </c>
    </row>
    <row r="212" spans="1:31" ht="15.75" x14ac:dyDescent="0.25">
      <c r="I212" s="251" t="s">
        <v>248</v>
      </c>
      <c r="J212" s="231"/>
      <c r="K212" s="231" t="s">
        <v>249</v>
      </c>
      <c r="L212" s="231"/>
      <c r="M212" s="231" t="s">
        <v>250</v>
      </c>
      <c r="N212" s="231"/>
      <c r="O212" s="231" t="s">
        <v>250</v>
      </c>
      <c r="P212" s="231"/>
      <c r="Q212" s="231" t="s">
        <v>251</v>
      </c>
      <c r="R212" s="231"/>
      <c r="S212" s="231" t="s">
        <v>252</v>
      </c>
      <c r="T212" s="231"/>
      <c r="U212" s="252"/>
      <c r="V212" s="231"/>
      <c r="W212" s="231"/>
      <c r="X212" s="231"/>
      <c r="Y212" s="231"/>
      <c r="Z212" s="231"/>
      <c r="AA212" s="231"/>
      <c r="AB212" s="231"/>
      <c r="AC212" s="231"/>
      <c r="AD212" s="231"/>
      <c r="AE212" s="231" t="s">
        <v>253</v>
      </c>
    </row>
    <row r="216" spans="1:31" x14ac:dyDescent="0.2">
      <c r="C216" s="131" t="s">
        <v>320</v>
      </c>
      <c r="Z216" s="6"/>
      <c r="AA216" s="6"/>
      <c r="AB216" s="6"/>
      <c r="AC216" s="6"/>
      <c r="AD216" s="6"/>
      <c r="AE216" s="6"/>
    </row>
    <row r="217" spans="1:31" x14ac:dyDescent="0.2">
      <c r="E217" s="20"/>
      <c r="F217" s="6"/>
      <c r="G217" s="7" t="s">
        <v>1</v>
      </c>
      <c r="W217" s="134"/>
      <c r="X217" s="20"/>
      <c r="Y217" s="20"/>
      <c r="Z217" s="20"/>
      <c r="AA217" s="134"/>
      <c r="AB217" s="134"/>
      <c r="AC217" s="134"/>
      <c r="AD217" s="134"/>
      <c r="AE217" s="20"/>
    </row>
    <row r="218" spans="1:31" x14ac:dyDescent="0.2">
      <c r="G218" s="45"/>
      <c r="W218" s="45"/>
      <c r="Y218" s="45"/>
      <c r="Z218" s="114"/>
      <c r="AA218" s="114"/>
      <c r="AB218" s="114"/>
      <c r="AC218" s="45"/>
      <c r="AD218" s="45"/>
      <c r="AE218" s="45"/>
    </row>
    <row r="219" spans="1:31" x14ac:dyDescent="0.2">
      <c r="E219" s="3" t="s">
        <v>3</v>
      </c>
      <c r="F219" s="3"/>
      <c r="G219" s="201">
        <f>SUM(I219:AG219)</f>
        <v>2588008833.73</v>
      </c>
      <c r="W219" s="110">
        <f>W10</f>
        <v>2564667520.6599998</v>
      </c>
      <c r="X219" s="46"/>
      <c r="Y219" s="46"/>
      <c r="Z219" s="46"/>
      <c r="AA219" s="46"/>
      <c r="AB219" s="46"/>
      <c r="AC219" s="46"/>
      <c r="AD219" s="46"/>
      <c r="AE219" s="110">
        <f>AE10</f>
        <v>23341313.07</v>
      </c>
    </row>
    <row r="220" spans="1:31" x14ac:dyDescent="0.2">
      <c r="E220" s="3" t="s">
        <v>5</v>
      </c>
      <c r="F220" s="3"/>
      <c r="G220" s="202">
        <f>SUM(I220:AG220)</f>
        <v>328.75</v>
      </c>
      <c r="W220" s="110">
        <f>W11</f>
        <v>315.75</v>
      </c>
      <c r="X220" s="46"/>
      <c r="Y220" s="46"/>
      <c r="Z220" s="46"/>
      <c r="AA220" s="46"/>
      <c r="AB220" s="46"/>
      <c r="AC220" s="46"/>
      <c r="AD220" s="46"/>
      <c r="AE220" s="110">
        <f>AE11</f>
        <v>13</v>
      </c>
    </row>
    <row r="221" spans="1:31" x14ac:dyDescent="0.2">
      <c r="E221" s="3" t="s">
        <v>3</v>
      </c>
      <c r="F221" s="3"/>
      <c r="G221" s="201">
        <f>SUM(I221:AG221)</f>
        <v>115916906.11999999</v>
      </c>
      <c r="W221" s="110">
        <f>W12</f>
        <v>114641215.02</v>
      </c>
      <c r="X221" s="46"/>
      <c r="Y221" s="46"/>
      <c r="Z221" s="46"/>
      <c r="AA221" s="46"/>
      <c r="AB221" s="46"/>
      <c r="AC221" s="46"/>
      <c r="AD221" s="46"/>
      <c r="AE221" s="110">
        <f>AE12</f>
        <v>1275691.1000000001</v>
      </c>
    </row>
    <row r="222" spans="1:31" x14ac:dyDescent="0.2">
      <c r="E222" s="3"/>
      <c r="F222" s="3"/>
      <c r="G222" s="48"/>
      <c r="W222" s="18"/>
      <c r="X222" s="1"/>
      <c r="Y222" s="18"/>
      <c r="Z222" s="94"/>
      <c r="AA222" s="18"/>
      <c r="AB222" s="18"/>
      <c r="AC222" s="18"/>
      <c r="AD222" s="18"/>
      <c r="AE222" s="18"/>
    </row>
    <row r="223" spans="1:31" x14ac:dyDescent="0.2">
      <c r="G223" s="50"/>
      <c r="Y223" s="45"/>
      <c r="Z223" s="114"/>
      <c r="AA223" s="114"/>
      <c r="AB223" s="114"/>
      <c r="AC223" s="45"/>
      <c r="AD223" s="45"/>
    </row>
    <row r="224" spans="1:31" x14ac:dyDescent="0.2">
      <c r="E224" s="14" t="s">
        <v>6</v>
      </c>
      <c r="F224" s="14"/>
      <c r="G224" s="84">
        <f>SUM(I224:AG224)</f>
        <v>0.99999999999999989</v>
      </c>
      <c r="W224" s="99">
        <f>W219/G219</f>
        <v>0.990980976275742</v>
      </c>
      <c r="X224" s="88"/>
      <c r="Y224" s="88"/>
      <c r="Z224" s="16"/>
      <c r="AA224" s="88"/>
      <c r="AB224" s="88"/>
      <c r="AC224" s="88"/>
      <c r="AD224" s="88"/>
      <c r="AE224" s="99">
        <f>AE219/G219</f>
        <v>9.0190237242579428E-3</v>
      </c>
    </row>
    <row r="225" spans="1:58" x14ac:dyDescent="0.2">
      <c r="E225" s="14" t="s">
        <v>6</v>
      </c>
      <c r="F225" s="14"/>
      <c r="G225" s="87">
        <f>SUM(I225:AG225)</f>
        <v>1</v>
      </c>
      <c r="W225" s="99">
        <f>W220/G220</f>
        <v>0.96045627376425857</v>
      </c>
      <c r="X225" s="88"/>
      <c r="Y225" s="88"/>
      <c r="Z225" s="16"/>
      <c r="AA225" s="88"/>
      <c r="AB225" s="88"/>
      <c r="AC225" s="88"/>
      <c r="AD225" s="88"/>
      <c r="AE225" s="99">
        <f>AE220/G220</f>
        <v>3.9543726235741442E-2</v>
      </c>
    </row>
    <row r="226" spans="1:58" x14ac:dyDescent="0.2">
      <c r="E226" s="14" t="s">
        <v>6</v>
      </c>
      <c r="F226" s="14"/>
      <c r="G226" s="87">
        <f>SUM(I226:AG226)</f>
        <v>1</v>
      </c>
      <c r="W226" s="99">
        <f>W221/G221</f>
        <v>0.98899477959945403</v>
      </c>
      <c r="X226" s="88"/>
      <c r="Y226" s="88"/>
      <c r="Z226" s="16"/>
      <c r="AA226" s="88"/>
      <c r="AB226" s="88"/>
      <c r="AC226" s="88"/>
      <c r="AD226" s="88"/>
      <c r="AE226" s="99">
        <f>AE221/G221</f>
        <v>1.1005220400546006E-2</v>
      </c>
    </row>
    <row r="227" spans="1:58" x14ac:dyDescent="0.2">
      <c r="E227" s="14"/>
      <c r="F227" s="14"/>
      <c r="G227" s="88"/>
      <c r="W227" s="88"/>
      <c r="X227" s="88"/>
      <c r="Y227" s="88"/>
      <c r="Z227" s="16"/>
      <c r="AA227" s="88"/>
      <c r="AB227" s="88"/>
      <c r="AC227" s="88"/>
      <c r="AD227" s="88"/>
      <c r="AE227" s="88"/>
    </row>
    <row r="228" spans="1:58" x14ac:dyDescent="0.2">
      <c r="E228" s="14" t="s">
        <v>6</v>
      </c>
      <c r="F228" s="14"/>
      <c r="G228" s="84">
        <f>SUM(I228:AG228)</f>
        <v>1</v>
      </c>
      <c r="W228" s="233">
        <f>ROUND(AVERAGE(W224:W226),4)</f>
        <v>0.98009999999999997</v>
      </c>
      <c r="X228" s="89"/>
      <c r="Y228" s="101"/>
      <c r="Z228" s="89"/>
      <c r="AA228" s="101"/>
      <c r="AB228" s="101"/>
      <c r="AC228" s="101"/>
      <c r="AD228" s="101"/>
      <c r="AE228" s="233">
        <f>ROUND(AVERAGE(AE224:AE226),4)</f>
        <v>1.9900000000000001E-2</v>
      </c>
    </row>
    <row r="232" spans="1:58" x14ac:dyDescent="0.2">
      <c r="C232" s="131" t="s">
        <v>423</v>
      </c>
      <c r="G232" s="389" t="s">
        <v>424</v>
      </c>
    </row>
    <row r="234" spans="1:58" s="297" customFormat="1" x14ac:dyDescent="0.2">
      <c r="A234" s="296"/>
      <c r="C234" s="298" t="s">
        <v>2</v>
      </c>
      <c r="D234" s="299"/>
      <c r="E234" s="297" t="s">
        <v>3</v>
      </c>
      <c r="G234" s="304">
        <f>I234+K234+M234+O234+Q234+S234+U234+W234+Y234+AA234+AC234+AE234+AG234</f>
        <v>7876127546.0799999</v>
      </c>
      <c r="H234" s="300"/>
      <c r="I234" s="301">
        <f t="shared" ref="I234:K236" si="5">I10</f>
        <v>712017562.00999999</v>
      </c>
      <c r="J234" s="301">
        <f t="shared" si="5"/>
        <v>0</v>
      </c>
      <c r="K234" s="301">
        <f t="shared" si="5"/>
        <v>580194446.90999997</v>
      </c>
      <c r="L234" s="301"/>
      <c r="M234" s="301">
        <f t="shared" ref="M234:Q236" si="6">M10</f>
        <v>246846679.05000001</v>
      </c>
      <c r="N234" s="301">
        <f t="shared" si="6"/>
        <v>0</v>
      </c>
      <c r="O234" s="301">
        <f t="shared" si="6"/>
        <v>615843381.10000002</v>
      </c>
      <c r="P234" s="301">
        <f t="shared" si="6"/>
        <v>0</v>
      </c>
      <c r="Q234" s="301">
        <f t="shared" si="6"/>
        <v>1108959113.1300001</v>
      </c>
      <c r="R234" s="301"/>
      <c r="S234" s="301">
        <f t="shared" ref="S234:V236" si="7">S10</f>
        <v>573781841.95000005</v>
      </c>
      <c r="T234" s="301">
        <f t="shared" si="7"/>
        <v>0</v>
      </c>
      <c r="U234" s="301">
        <f t="shared" si="7"/>
        <v>3977519792.1199999</v>
      </c>
      <c r="V234" s="301">
        <f t="shared" si="7"/>
        <v>0</v>
      </c>
      <c r="W234" s="301"/>
      <c r="X234" s="301"/>
      <c r="Y234" s="301">
        <f t="shared" ref="Y234:BF234" si="8">Y10</f>
        <v>0</v>
      </c>
      <c r="Z234" s="301">
        <f t="shared" si="8"/>
        <v>0</v>
      </c>
      <c r="AA234" s="301">
        <f t="shared" si="8"/>
        <v>9495600.8200000003</v>
      </c>
      <c r="AB234" s="301">
        <f t="shared" si="8"/>
        <v>0</v>
      </c>
      <c r="AC234" s="301">
        <f t="shared" si="8"/>
        <v>8392478.7599999998</v>
      </c>
      <c r="AD234" s="301">
        <f t="shared" si="8"/>
        <v>0</v>
      </c>
      <c r="AE234" s="301">
        <f t="shared" si="8"/>
        <v>23341313.07</v>
      </c>
      <c r="AF234" s="301">
        <f t="shared" si="8"/>
        <v>0</v>
      </c>
      <c r="AG234" s="301">
        <f t="shared" si="8"/>
        <v>19735337.16</v>
      </c>
      <c r="AH234" s="301">
        <f t="shared" si="8"/>
        <v>0</v>
      </c>
      <c r="AI234" s="301">
        <f t="shared" si="8"/>
        <v>0</v>
      </c>
      <c r="AJ234" s="301">
        <f t="shared" si="8"/>
        <v>0</v>
      </c>
      <c r="AK234" s="301">
        <f t="shared" si="8"/>
        <v>0</v>
      </c>
      <c r="AL234" s="301">
        <f t="shared" si="8"/>
        <v>0</v>
      </c>
      <c r="AM234" s="403">
        <f t="shared" si="8"/>
        <v>14745579.439999999</v>
      </c>
      <c r="AN234" s="301">
        <f t="shared" si="8"/>
        <v>0</v>
      </c>
      <c r="AO234" s="301">
        <f t="shared" si="8"/>
        <v>0</v>
      </c>
      <c r="AP234" s="301">
        <f t="shared" si="8"/>
        <v>0</v>
      </c>
      <c r="AQ234" s="301">
        <f t="shared" si="8"/>
        <v>0</v>
      </c>
      <c r="AR234" s="301">
        <f t="shared" si="8"/>
        <v>0</v>
      </c>
      <c r="AS234" s="301">
        <f t="shared" si="8"/>
        <v>0</v>
      </c>
      <c r="AT234" s="301">
        <f t="shared" si="8"/>
        <v>0</v>
      </c>
      <c r="AU234" s="403">
        <f t="shared" si="8"/>
        <v>4937389.0599999996</v>
      </c>
      <c r="AV234" s="301">
        <f t="shared" si="8"/>
        <v>0</v>
      </c>
      <c r="AW234" s="301">
        <f t="shared" si="8"/>
        <v>52368.66</v>
      </c>
      <c r="AX234" s="301">
        <f t="shared" si="8"/>
        <v>0</v>
      </c>
      <c r="AY234" s="301">
        <f t="shared" si="8"/>
        <v>0</v>
      </c>
      <c r="AZ234" s="301">
        <f t="shared" si="8"/>
        <v>0</v>
      </c>
      <c r="BA234" s="301">
        <f t="shared" si="8"/>
        <v>0</v>
      </c>
      <c r="BB234" s="301">
        <f t="shared" si="8"/>
        <v>0</v>
      </c>
      <c r="BC234" s="301">
        <f t="shared" si="8"/>
        <v>0</v>
      </c>
      <c r="BD234" s="403">
        <f t="shared" si="8"/>
        <v>0</v>
      </c>
      <c r="BE234" s="301">
        <f t="shared" si="8"/>
        <v>0</v>
      </c>
      <c r="BF234" s="301">
        <f t="shared" si="8"/>
        <v>0</v>
      </c>
    </row>
    <row r="235" spans="1:58" s="297" customFormat="1" x14ac:dyDescent="0.2">
      <c r="A235" s="296"/>
      <c r="C235" s="297" t="s">
        <v>4</v>
      </c>
      <c r="D235" s="299"/>
      <c r="E235" s="297" t="s">
        <v>5</v>
      </c>
      <c r="G235" s="304">
        <f t="shared" ref="G235:G236" si="9">I235+K235+M235+O235+Q235+S235+U235+W235+Y235+AA235+AC235+AE235+AG235</f>
        <v>3091032.333333333</v>
      </c>
      <c r="H235" s="300"/>
      <c r="I235" s="305">
        <f t="shared" si="5"/>
        <v>299655.58333333331</v>
      </c>
      <c r="J235" s="305">
        <f t="shared" si="5"/>
        <v>0</v>
      </c>
      <c r="K235" s="305">
        <f t="shared" si="5"/>
        <v>249509.25</v>
      </c>
      <c r="L235" s="305"/>
      <c r="M235" s="305">
        <f t="shared" si="6"/>
        <v>74383.416666666672</v>
      </c>
      <c r="N235" s="305">
        <f t="shared" si="6"/>
        <v>0</v>
      </c>
      <c r="O235" s="305">
        <f t="shared" si="6"/>
        <v>273973.91666666669</v>
      </c>
      <c r="P235" s="305">
        <f t="shared" si="6"/>
        <v>0</v>
      </c>
      <c r="Q235" s="305">
        <f t="shared" si="6"/>
        <v>337869.5</v>
      </c>
      <c r="R235" s="305"/>
      <c r="S235" s="305">
        <f t="shared" si="7"/>
        <v>247834.75</v>
      </c>
      <c r="T235" s="305">
        <f t="shared" si="7"/>
        <v>0</v>
      </c>
      <c r="U235" s="305">
        <f t="shared" si="7"/>
        <v>1607562.9166666667</v>
      </c>
      <c r="V235" s="305">
        <f t="shared" si="7"/>
        <v>0</v>
      </c>
      <c r="W235" s="305"/>
      <c r="X235" s="305"/>
      <c r="Y235" s="305">
        <f t="shared" ref="Y235:BF235" si="10">Y11</f>
        <v>0</v>
      </c>
      <c r="Z235" s="305">
        <f t="shared" si="10"/>
        <v>0</v>
      </c>
      <c r="AA235" s="305">
        <f t="shared" si="10"/>
        <v>0</v>
      </c>
      <c r="AB235" s="305">
        <f t="shared" si="10"/>
        <v>0</v>
      </c>
      <c r="AC235" s="305">
        <f t="shared" si="10"/>
        <v>0</v>
      </c>
      <c r="AD235" s="305">
        <f t="shared" si="10"/>
        <v>0</v>
      </c>
      <c r="AE235" s="305">
        <f t="shared" si="10"/>
        <v>13</v>
      </c>
      <c r="AF235" s="305">
        <f t="shared" si="10"/>
        <v>0</v>
      </c>
      <c r="AG235" s="305">
        <f t="shared" si="10"/>
        <v>230</v>
      </c>
      <c r="AH235" s="305">
        <f t="shared" si="10"/>
        <v>0</v>
      </c>
      <c r="AI235" s="305">
        <f t="shared" si="10"/>
        <v>0</v>
      </c>
      <c r="AJ235" s="305">
        <f t="shared" si="10"/>
        <v>0</v>
      </c>
      <c r="AK235" s="305">
        <f t="shared" si="10"/>
        <v>0</v>
      </c>
      <c r="AL235" s="305">
        <f t="shared" si="10"/>
        <v>0</v>
      </c>
      <c r="AM235" s="420">
        <f t="shared" si="10"/>
        <v>0</v>
      </c>
      <c r="AN235" s="305">
        <f t="shared" si="10"/>
        <v>0</v>
      </c>
      <c r="AO235" s="305">
        <f t="shared" si="10"/>
        <v>0</v>
      </c>
      <c r="AP235" s="305">
        <f t="shared" si="10"/>
        <v>0</v>
      </c>
      <c r="AQ235" s="305">
        <f t="shared" si="10"/>
        <v>0</v>
      </c>
      <c r="AR235" s="305">
        <f t="shared" si="10"/>
        <v>0</v>
      </c>
      <c r="AS235" s="305">
        <f t="shared" si="10"/>
        <v>0</v>
      </c>
      <c r="AT235" s="305">
        <f t="shared" si="10"/>
        <v>0</v>
      </c>
      <c r="AU235" s="420">
        <f t="shared" si="10"/>
        <v>230</v>
      </c>
      <c r="AV235" s="305">
        <f t="shared" si="10"/>
        <v>0</v>
      </c>
      <c r="AW235" s="305">
        <f t="shared" si="10"/>
        <v>0</v>
      </c>
      <c r="AX235" s="305">
        <f t="shared" si="10"/>
        <v>0</v>
      </c>
      <c r="AY235" s="305">
        <f t="shared" si="10"/>
        <v>0</v>
      </c>
      <c r="AZ235" s="305">
        <f t="shared" si="10"/>
        <v>0</v>
      </c>
      <c r="BA235" s="305">
        <f t="shared" si="10"/>
        <v>0</v>
      </c>
      <c r="BB235" s="305">
        <f t="shared" si="10"/>
        <v>0</v>
      </c>
      <c r="BC235" s="305">
        <f t="shared" si="10"/>
        <v>0</v>
      </c>
      <c r="BD235" s="420">
        <f t="shared" si="10"/>
        <v>0</v>
      </c>
      <c r="BE235" s="305">
        <f t="shared" si="10"/>
        <v>0</v>
      </c>
      <c r="BF235" s="305">
        <f t="shared" si="10"/>
        <v>0</v>
      </c>
    </row>
    <row r="236" spans="1:58" s="297" customFormat="1" x14ac:dyDescent="0.2">
      <c r="A236" s="296"/>
      <c r="C236" s="298" t="s">
        <v>15</v>
      </c>
      <c r="D236" s="299"/>
      <c r="E236" s="297" t="s">
        <v>3</v>
      </c>
      <c r="G236" s="304">
        <f t="shared" si="9"/>
        <v>278390154.79000002</v>
      </c>
      <c r="H236" s="300"/>
      <c r="I236" s="305">
        <f t="shared" si="5"/>
        <v>31254669.100000001</v>
      </c>
      <c r="J236" s="305">
        <f t="shared" si="5"/>
        <v>0</v>
      </c>
      <c r="K236" s="305">
        <f t="shared" si="5"/>
        <v>26613522.739999998</v>
      </c>
      <c r="L236" s="305"/>
      <c r="M236" s="305">
        <f t="shared" si="6"/>
        <v>8773969.5999999996</v>
      </c>
      <c r="N236" s="305">
        <f t="shared" si="6"/>
        <v>0</v>
      </c>
      <c r="O236" s="305">
        <f t="shared" si="6"/>
        <v>23385584.489999998</v>
      </c>
      <c r="P236" s="305">
        <f t="shared" si="6"/>
        <v>0</v>
      </c>
      <c r="Q236" s="305">
        <f t="shared" si="6"/>
        <v>37389660.939999998</v>
      </c>
      <c r="R236" s="305"/>
      <c r="S236" s="305">
        <f t="shared" si="7"/>
        <v>31054400.039999999</v>
      </c>
      <c r="T236" s="305">
        <f t="shared" si="7"/>
        <v>0</v>
      </c>
      <c r="U236" s="305">
        <f t="shared" si="7"/>
        <v>118248978.97</v>
      </c>
      <c r="V236" s="305">
        <f t="shared" si="7"/>
        <v>0</v>
      </c>
      <c r="W236" s="305"/>
      <c r="X236" s="305"/>
      <c r="Y236" s="305">
        <f t="shared" ref="Y236:BF236" si="11">Y12</f>
        <v>0</v>
      </c>
      <c r="Z236" s="305">
        <f t="shared" si="11"/>
        <v>0</v>
      </c>
      <c r="AA236" s="305">
        <f t="shared" si="11"/>
        <v>251500.05</v>
      </c>
      <c r="AB236" s="305">
        <f t="shared" si="11"/>
        <v>0</v>
      </c>
      <c r="AC236" s="305">
        <f t="shared" si="11"/>
        <v>392189.59</v>
      </c>
      <c r="AD236" s="305">
        <f t="shared" si="11"/>
        <v>0</v>
      </c>
      <c r="AE236" s="305">
        <f t="shared" si="11"/>
        <v>1275691.1000000001</v>
      </c>
      <c r="AF236" s="305">
        <f t="shared" si="11"/>
        <v>0</v>
      </c>
      <c r="AG236" s="305">
        <f t="shared" si="11"/>
        <v>-250011.82999999996</v>
      </c>
      <c r="AH236" s="305">
        <f t="shared" si="11"/>
        <v>0</v>
      </c>
      <c r="AI236" s="305">
        <f t="shared" si="11"/>
        <v>3376.41</v>
      </c>
      <c r="AJ236" s="305">
        <f t="shared" si="11"/>
        <v>0</v>
      </c>
      <c r="AK236" s="305">
        <f t="shared" si="11"/>
        <v>14617.45</v>
      </c>
      <c r="AL236" s="305">
        <f t="shared" si="11"/>
        <v>0</v>
      </c>
      <c r="AM236" s="420">
        <f t="shared" si="11"/>
        <v>-73116</v>
      </c>
      <c r="AN236" s="305">
        <f t="shared" si="11"/>
        <v>0</v>
      </c>
      <c r="AO236" s="305">
        <f t="shared" si="11"/>
        <v>-1132481.1000000001</v>
      </c>
      <c r="AP236" s="305">
        <f t="shared" si="11"/>
        <v>0</v>
      </c>
      <c r="AQ236" s="305">
        <f t="shared" si="11"/>
        <v>462.2</v>
      </c>
      <c r="AR236" s="305">
        <f t="shared" si="11"/>
        <v>0</v>
      </c>
      <c r="AS236" s="305">
        <f t="shared" si="11"/>
        <v>0</v>
      </c>
      <c r="AT236" s="305">
        <f t="shared" si="11"/>
        <v>0</v>
      </c>
      <c r="AU236" s="420">
        <f t="shared" si="11"/>
        <v>196300.58</v>
      </c>
      <c r="AV236" s="305">
        <f t="shared" si="11"/>
        <v>0</v>
      </c>
      <c r="AW236" s="305">
        <f t="shared" si="11"/>
        <v>5934.91</v>
      </c>
      <c r="AX236" s="305">
        <f t="shared" si="11"/>
        <v>0</v>
      </c>
      <c r="AY236" s="305">
        <f t="shared" si="11"/>
        <v>2936.05</v>
      </c>
      <c r="AZ236" s="305">
        <f t="shared" si="11"/>
        <v>0</v>
      </c>
      <c r="BA236" s="305">
        <f t="shared" si="11"/>
        <v>0</v>
      </c>
      <c r="BB236" s="305">
        <f t="shared" si="11"/>
        <v>4395.62</v>
      </c>
      <c r="BC236" s="305">
        <f t="shared" si="11"/>
        <v>0</v>
      </c>
      <c r="BD236" s="420">
        <f t="shared" si="11"/>
        <v>727562.05</v>
      </c>
      <c r="BE236" s="305">
        <f t="shared" si="11"/>
        <v>0</v>
      </c>
      <c r="BF236" s="305">
        <f t="shared" si="11"/>
        <v>0</v>
      </c>
    </row>
    <row r="237" spans="1:58" s="3" customFormat="1" x14ac:dyDescent="0.2">
      <c r="A237" s="19"/>
      <c r="C237" s="47" t="s">
        <v>16</v>
      </c>
      <c r="D237" s="10"/>
      <c r="G237" s="48"/>
      <c r="H237" s="8"/>
      <c r="I237" s="1"/>
      <c r="J237" s="4"/>
      <c r="K237" s="1"/>
      <c r="L237" s="4"/>
      <c r="M237" s="1"/>
      <c r="N237" s="1"/>
      <c r="O237" s="1"/>
      <c r="P237" s="1"/>
      <c r="Q237" s="1"/>
      <c r="R237" s="1"/>
      <c r="S237" s="1"/>
      <c r="T237" s="1"/>
      <c r="U237" s="1"/>
      <c r="V237" s="1"/>
      <c r="W237" s="18"/>
      <c r="X237" s="1"/>
      <c r="Y237" s="18"/>
      <c r="Z237" s="18"/>
      <c r="AA237" s="18"/>
      <c r="AB237" s="18"/>
      <c r="AC237" s="18"/>
      <c r="AD237" s="18"/>
      <c r="AE237" s="18"/>
      <c r="AF237" s="18"/>
      <c r="AG237" s="18"/>
      <c r="AH237" s="18"/>
      <c r="AI237" s="18"/>
      <c r="AJ237" s="18"/>
      <c r="AK237" s="18"/>
      <c r="AL237" s="18"/>
      <c r="AM237" s="404"/>
      <c r="AN237" s="18"/>
      <c r="AO237" s="18"/>
      <c r="AP237" s="18"/>
      <c r="AQ237" s="18"/>
      <c r="AR237" s="18"/>
      <c r="AS237" s="18"/>
      <c r="AT237" s="18"/>
      <c r="AU237" s="404"/>
      <c r="AV237" s="18"/>
      <c r="AW237" s="18"/>
      <c r="AX237" s="18"/>
      <c r="AY237" s="18"/>
      <c r="AZ237" s="18"/>
      <c r="BA237" s="18"/>
      <c r="BB237" s="18"/>
      <c r="BC237" s="18"/>
      <c r="BD237" s="404"/>
      <c r="BE237" s="18"/>
      <c r="BF237" s="18"/>
    </row>
    <row r="238" spans="1:58" x14ac:dyDescent="0.2">
      <c r="A238" s="49" t="s">
        <v>9</v>
      </c>
      <c r="B238" s="44"/>
      <c r="D238" s="10"/>
      <c r="G238" s="50"/>
      <c r="I238" s="107"/>
      <c r="K238" s="35"/>
      <c r="Q238" s="35"/>
      <c r="AE238" s="10"/>
      <c r="AF238" s="10"/>
      <c r="AI238" s="35"/>
      <c r="AJ238" s="35"/>
      <c r="AN238" s="10"/>
      <c r="AO238" s="10"/>
      <c r="AP238" s="45"/>
      <c r="AT238" s="10"/>
      <c r="AU238" s="423"/>
      <c r="AV238" s="45"/>
      <c r="AZ238" s="10"/>
      <c r="BA238" s="45"/>
      <c r="BE238" s="10"/>
      <c r="BF238" s="10"/>
    </row>
    <row r="239" spans="1:58" s="14" customFormat="1" x14ac:dyDescent="0.2">
      <c r="A239" s="19"/>
      <c r="C239" s="2" t="s">
        <v>2</v>
      </c>
      <c r="D239" s="10"/>
      <c r="E239" s="14" t="s">
        <v>6</v>
      </c>
      <c r="G239" s="84">
        <f>SUM(I239:AG239)</f>
        <v>0.99999999999999989</v>
      </c>
      <c r="H239" s="85"/>
      <c r="I239" s="86">
        <f>1-SUM(K239:AG239)</f>
        <v>0.10839999999999994</v>
      </c>
      <c r="J239" s="85"/>
      <c r="K239" s="84">
        <f>ROUND(K234/$G$10,4)</f>
        <v>5.5599999999999997E-2</v>
      </c>
      <c r="L239" s="85"/>
      <c r="M239" s="84">
        <f>ROUND(M234/$G234,4)</f>
        <v>3.1300000000000001E-2</v>
      </c>
      <c r="N239" s="88"/>
      <c r="O239" s="84">
        <f>ROUND(O234/$G234,4)</f>
        <v>7.8200000000000006E-2</v>
      </c>
      <c r="P239" s="88"/>
      <c r="Q239" s="84">
        <f>ROUND(Q234/$G234,4)</f>
        <v>0.14080000000000001</v>
      </c>
      <c r="R239" s="88"/>
      <c r="S239" s="84">
        <f>ROUND(S234/$G234,4)</f>
        <v>7.2900000000000006E-2</v>
      </c>
      <c r="T239" s="88"/>
      <c r="U239" s="84">
        <f>ROUND(U234/$G234,4)</f>
        <v>0.505</v>
      </c>
      <c r="V239" s="88"/>
      <c r="W239" s="84">
        <f>ROUND(W234/$G234,4)</f>
        <v>0</v>
      </c>
      <c r="X239" s="88"/>
      <c r="Y239" s="84">
        <f>ROUND(Y234/$G234,4)</f>
        <v>0</v>
      </c>
      <c r="AA239" s="84">
        <f>ROUND(AA234/$G234,4)</f>
        <v>1.1999999999999999E-3</v>
      </c>
      <c r="AB239" s="84"/>
      <c r="AC239" s="84">
        <f>ROUND(AC234/$G234,4)</f>
        <v>1.1000000000000001E-3</v>
      </c>
      <c r="AD239" s="84"/>
      <c r="AE239" s="84">
        <f>ROUND(AE234/$G234,4)</f>
        <v>3.0000000000000001E-3</v>
      </c>
      <c r="AF239" s="88"/>
      <c r="AG239" s="84">
        <f>ROUND(AG234/$G234,4)</f>
        <v>2.5000000000000001E-3</v>
      </c>
      <c r="AI239" s="84">
        <f>ROUND(AI234/$G234,4)</f>
        <v>0</v>
      </c>
      <c r="AJ239" s="84"/>
      <c r="AK239" s="84">
        <f>ROUND(AK234/$G234,4)</f>
        <v>0</v>
      </c>
      <c r="AL239" s="84"/>
      <c r="AM239" s="405">
        <f>ROUND(AM234/$G234,4)</f>
        <v>1.9E-3</v>
      </c>
      <c r="AO239" s="84">
        <f>ROUND(AO234/$G234,4)</f>
        <v>0</v>
      </c>
      <c r="AP239" s="88"/>
      <c r="AQ239" s="84">
        <f>ROUND(AQ234/$G234,4)</f>
        <v>0</v>
      </c>
      <c r="AR239" s="13"/>
      <c r="AS239" s="84">
        <f>ROUND(AS234/$G234,4)</f>
        <v>0</v>
      </c>
      <c r="AU239" s="405">
        <f>ROUND(AU234/$G234,4)</f>
        <v>5.9999999999999995E-4</v>
      </c>
      <c r="AV239" s="88"/>
      <c r="AW239" s="84">
        <f>ROUND(AW234/$G234,4)</f>
        <v>0</v>
      </c>
      <c r="AX239" s="84"/>
      <c r="AY239" s="84">
        <f>ROUND(AY234/$G234,4)</f>
        <v>0</v>
      </c>
      <c r="BA239" s="88"/>
      <c r="BB239" s="84">
        <f>ROUND(BB234/$G234,4)</f>
        <v>0</v>
      </c>
      <c r="BC239" s="13"/>
      <c r="BD239" s="405">
        <f>ROUND(BD234/$G234,4)</f>
        <v>0</v>
      </c>
      <c r="BF239" s="84">
        <f>ROUND(BF234/$G234,4)</f>
        <v>0</v>
      </c>
    </row>
    <row r="240" spans="1:58" s="14" customFormat="1" x14ac:dyDescent="0.2">
      <c r="A240" s="19"/>
      <c r="C240" s="3" t="s">
        <v>4</v>
      </c>
      <c r="D240" s="10"/>
      <c r="E240" s="14" t="s">
        <v>6</v>
      </c>
      <c r="G240" s="87">
        <f>SUM(I240:AG240)</f>
        <v>1</v>
      </c>
      <c r="H240" s="85"/>
      <c r="I240" s="86">
        <f>1-SUM(K240:AG240)</f>
        <v>9.6899999999999986E-2</v>
      </c>
      <c r="J240" s="85"/>
      <c r="K240" s="84">
        <f>ROUND(K235/$G$11,4)</f>
        <v>8.0699999999999994E-2</v>
      </c>
      <c r="L240" s="85"/>
      <c r="M240" s="84">
        <f>ROUND(M235/$G235,4)</f>
        <v>2.41E-2</v>
      </c>
      <c r="N240" s="88"/>
      <c r="O240" s="84">
        <f>ROUND(O235/$G235,4)</f>
        <v>8.8599999999999998E-2</v>
      </c>
      <c r="P240" s="88"/>
      <c r="Q240" s="84">
        <f>ROUND(Q235/$G235,4)</f>
        <v>0.10929999999999999</v>
      </c>
      <c r="R240" s="88"/>
      <c r="S240" s="84">
        <f>ROUND(S235/$G235,4)</f>
        <v>8.0199999999999994E-2</v>
      </c>
      <c r="T240" s="88"/>
      <c r="U240" s="84">
        <f>ROUND(U235/$G235,4)</f>
        <v>0.52010000000000001</v>
      </c>
      <c r="V240" s="88"/>
      <c r="W240" s="84">
        <f>ROUND(W235/$G235,4)</f>
        <v>0</v>
      </c>
      <c r="X240" s="88"/>
      <c r="Y240" s="84">
        <f>ROUND(Y235/$G235,4)</f>
        <v>0</v>
      </c>
      <c r="AA240" s="84">
        <f>ROUND(AA235/$G235,4)</f>
        <v>0</v>
      </c>
      <c r="AB240" s="84"/>
      <c r="AC240" s="84">
        <f t="shared" ref="AC240:AC241" si="12">ROUND(AC235/$G235,4)</f>
        <v>0</v>
      </c>
      <c r="AD240" s="84"/>
      <c r="AE240" s="84">
        <f>ROUND(AE235/$G235,4)</f>
        <v>0</v>
      </c>
      <c r="AF240" s="88"/>
      <c r="AG240" s="84">
        <f>ROUND(AG235/$G235,4)</f>
        <v>1E-4</v>
      </c>
      <c r="AI240" s="84">
        <f>ROUND(AI235/$G235,4)</f>
        <v>0</v>
      </c>
      <c r="AJ240" s="84"/>
      <c r="AK240" s="84">
        <f>ROUND(AK235/$G235,4)</f>
        <v>0</v>
      </c>
      <c r="AL240" s="84"/>
      <c r="AM240" s="405">
        <f>ROUND(AM235/$G235,4)</f>
        <v>0</v>
      </c>
      <c r="AO240" s="84">
        <f>ROUND(AO235/$G235,4)</f>
        <v>0</v>
      </c>
      <c r="AP240" s="88"/>
      <c r="AQ240" s="84">
        <f>ROUND(AQ235/$G235,4)</f>
        <v>0</v>
      </c>
      <c r="AR240" s="13"/>
      <c r="AS240" s="84">
        <f>ROUND(AS235/$G235,4)</f>
        <v>0</v>
      </c>
      <c r="AU240" s="405">
        <f>ROUND(AU235/$G235,4)</f>
        <v>1E-4</v>
      </c>
      <c r="AV240" s="88"/>
      <c r="AW240" s="84">
        <f>ROUND(AW235/$G235,4)</f>
        <v>0</v>
      </c>
      <c r="AX240" s="84"/>
      <c r="AY240" s="84">
        <f>ROUND(AY235/$G235,4)</f>
        <v>0</v>
      </c>
      <c r="BA240" s="88"/>
      <c r="BB240" s="84">
        <f>ROUND(BB235/$G235,4)</f>
        <v>0</v>
      </c>
      <c r="BC240" s="13"/>
      <c r="BD240" s="405">
        <f>ROUND(BD235/$G235,4)</f>
        <v>0</v>
      </c>
      <c r="BF240" s="84">
        <f>ROUND(BF235/$G235,4)</f>
        <v>0</v>
      </c>
    </row>
    <row r="241" spans="1:58" s="14" customFormat="1" x14ac:dyDescent="0.2">
      <c r="A241" s="19"/>
      <c r="C241" s="2" t="s">
        <v>7</v>
      </c>
      <c r="D241" s="10"/>
      <c r="E241" s="14" t="s">
        <v>6</v>
      </c>
      <c r="G241" s="87">
        <f>SUM(I241:AG241)</f>
        <v>0.99999999999999989</v>
      </c>
      <c r="H241" s="85"/>
      <c r="I241" s="86">
        <f>1-SUM(K241:AG241)</f>
        <v>0.11229999999999996</v>
      </c>
      <c r="J241" s="85"/>
      <c r="K241" s="84">
        <f>ROUND(K236/$G236,4)</f>
        <v>9.5600000000000004E-2</v>
      </c>
      <c r="L241" s="85"/>
      <c r="M241" s="84">
        <f>ROUND(M236/$G236,4)</f>
        <v>3.15E-2</v>
      </c>
      <c r="N241" s="88"/>
      <c r="O241" s="84">
        <f>ROUND(O236/$G236,4)</f>
        <v>8.4000000000000005E-2</v>
      </c>
      <c r="P241" s="88"/>
      <c r="Q241" s="84">
        <f>ROUND(Q236/$G236,4)</f>
        <v>0.1343</v>
      </c>
      <c r="R241" s="88"/>
      <c r="S241" s="84">
        <f>ROUND(S236/$G236,4)</f>
        <v>0.1115</v>
      </c>
      <c r="T241" s="88"/>
      <c r="U241" s="84">
        <f>ROUND(U236/$G236,4)</f>
        <v>0.42480000000000001</v>
      </c>
      <c r="V241" s="88"/>
      <c r="W241" s="84">
        <f>ROUND(W236/$G236,4)</f>
        <v>0</v>
      </c>
      <c r="X241" s="88"/>
      <c r="Y241" s="84">
        <f>ROUND(Y236/$G236,4)</f>
        <v>0</v>
      </c>
      <c r="AA241" s="84">
        <f>ROUND(AA236/$G236,4)</f>
        <v>8.9999999999999998E-4</v>
      </c>
      <c r="AB241" s="84"/>
      <c r="AC241" s="84">
        <f t="shared" si="12"/>
        <v>1.4E-3</v>
      </c>
      <c r="AD241" s="84"/>
      <c r="AE241" s="84">
        <f>ROUND(AE236/$G236,4)</f>
        <v>4.5999999999999999E-3</v>
      </c>
      <c r="AF241" s="88"/>
      <c r="AG241" s="84">
        <f>ROUND(AG236/$G236,4)</f>
        <v>-8.9999999999999998E-4</v>
      </c>
      <c r="AI241" s="84">
        <f>ROUND(AI236/$G236,4)</f>
        <v>0</v>
      </c>
      <c r="AJ241" s="84"/>
      <c r="AK241" s="84">
        <f>ROUND(AK236/$G236,4)</f>
        <v>1E-4</v>
      </c>
      <c r="AL241" s="84"/>
      <c r="AM241" s="405">
        <f>ROUND(AM236/$G236,4)</f>
        <v>-2.9999999999999997E-4</v>
      </c>
      <c r="AO241" s="84">
        <f>ROUND(AO236/$G236,4)</f>
        <v>-4.1000000000000003E-3</v>
      </c>
      <c r="AP241" s="88"/>
      <c r="AQ241" s="84">
        <f>ROUND(AQ236/$G236,4)</f>
        <v>0</v>
      </c>
      <c r="AR241" s="13"/>
      <c r="AS241" s="84">
        <f>ROUND(AS236/$G236,4)</f>
        <v>0</v>
      </c>
      <c r="AU241" s="405">
        <f>ROUND(AU236/$G236,4)</f>
        <v>6.9999999999999999E-4</v>
      </c>
      <c r="AV241" s="88"/>
      <c r="AW241" s="84">
        <f>ROUND(AW236/$G236,4)</f>
        <v>0</v>
      </c>
      <c r="AX241" s="84"/>
      <c r="AY241" s="84">
        <f>ROUND(AY236/$G236,4)</f>
        <v>0</v>
      </c>
      <c r="BA241" s="88"/>
      <c r="BB241" s="84">
        <f>ROUND(BB236/$G236,4)</f>
        <v>0</v>
      </c>
      <c r="BC241" s="13"/>
      <c r="BD241" s="405">
        <f>ROUND(BD236/$G236,4)</f>
        <v>2.5999999999999999E-3</v>
      </c>
      <c r="BF241" s="84">
        <f>ROUND(BF236/$G236,4)</f>
        <v>0</v>
      </c>
    </row>
    <row r="242" spans="1:58" s="14" customFormat="1" x14ac:dyDescent="0.2">
      <c r="A242" s="19"/>
      <c r="C242" s="51"/>
      <c r="D242" s="10"/>
      <c r="G242" s="88"/>
      <c r="H242" s="88"/>
      <c r="I242" s="89"/>
      <c r="J242" s="88"/>
      <c r="K242" s="88"/>
      <c r="L242" s="88"/>
      <c r="M242" s="88"/>
      <c r="N242" s="88"/>
      <c r="O242" s="88"/>
      <c r="P242" s="88"/>
      <c r="Q242" s="88"/>
      <c r="R242" s="88"/>
      <c r="S242" s="88"/>
      <c r="T242" s="88"/>
      <c r="U242" s="88"/>
      <c r="V242" s="88"/>
      <c r="W242" s="88"/>
      <c r="X242" s="88"/>
      <c r="Y242" s="88"/>
      <c r="Z242" s="16"/>
      <c r="AA242" s="88"/>
      <c r="AB242" s="88"/>
      <c r="AC242" s="88"/>
      <c r="AD242" s="88"/>
      <c r="AE242" s="88"/>
      <c r="AF242" s="88"/>
      <c r="AG242" s="88"/>
      <c r="AH242" s="16"/>
      <c r="AI242" s="88"/>
      <c r="AJ242" s="88"/>
      <c r="AK242" s="88"/>
      <c r="AL242" s="88"/>
      <c r="AM242" s="406"/>
      <c r="AN242" s="16"/>
      <c r="AO242" s="88"/>
      <c r="AP242" s="88"/>
      <c r="AQ242" s="88"/>
      <c r="AR242" s="15"/>
      <c r="AS242" s="88"/>
      <c r="AT242" s="16"/>
      <c r="AU242" s="406"/>
      <c r="AV242" s="88"/>
      <c r="AW242" s="88"/>
      <c r="AX242" s="88"/>
      <c r="AY242" s="88"/>
      <c r="AZ242" s="16"/>
      <c r="BA242" s="88"/>
      <c r="BB242" s="88"/>
      <c r="BC242" s="15"/>
      <c r="BD242" s="406"/>
      <c r="BE242" s="16"/>
      <c r="BF242" s="88"/>
    </row>
    <row r="243" spans="1:58" s="379" customFormat="1" x14ac:dyDescent="0.2">
      <c r="A243" s="378"/>
      <c r="C243" s="380" t="s">
        <v>364</v>
      </c>
      <c r="D243" s="239"/>
      <c r="E243" s="379" t="s">
        <v>6</v>
      </c>
      <c r="G243" s="247">
        <f>SUM(I243:AG243)</f>
        <v>1</v>
      </c>
      <c r="H243" s="249"/>
      <c r="I243" s="233">
        <f>1-SUM(K243:AG243)</f>
        <v>0.10589999999999999</v>
      </c>
      <c r="J243" s="234"/>
      <c r="K243" s="233">
        <f>ROUND(AVERAGE(K239:K241),4)</f>
        <v>7.7299999999999994E-2</v>
      </c>
      <c r="L243" s="234"/>
      <c r="M243" s="233">
        <f>ROUND(AVERAGE(M239:M241),4)</f>
        <v>2.9000000000000001E-2</v>
      </c>
      <c r="N243" s="235"/>
      <c r="O243" s="233">
        <f>ROUND(AVERAGE(O239:O241),4)</f>
        <v>8.3599999999999994E-2</v>
      </c>
      <c r="P243" s="235"/>
      <c r="Q243" s="233">
        <f>ROUND(AVERAGE(Q239:Q241),4)</f>
        <v>0.12809999999999999</v>
      </c>
      <c r="R243" s="235"/>
      <c r="S243" s="233">
        <f>ROUND(AVERAGE(S239:S241),4)</f>
        <v>8.8200000000000001E-2</v>
      </c>
      <c r="T243" s="235"/>
      <c r="U243" s="233">
        <f>ROUND(AVERAGE(U239:U241),4)</f>
        <v>0.48330000000000001</v>
      </c>
      <c r="V243" s="236"/>
      <c r="W243" s="233">
        <f>ROUND(AVERAGE(W239:W241),4)</f>
        <v>0</v>
      </c>
      <c r="X243" s="381"/>
      <c r="Y243" s="233">
        <f>ROUND(AVERAGE(Y239:Y241),4)</f>
        <v>0</v>
      </c>
      <c r="Z243" s="381"/>
      <c r="AA243" s="233">
        <f>ROUND(AVERAGE(AA239:AA241),4)</f>
        <v>6.9999999999999999E-4</v>
      </c>
      <c r="AB243" s="233"/>
      <c r="AC243" s="233">
        <f t="shared" ref="AC243" si="13">ROUND(AVERAGE(AC239:AC241),4)</f>
        <v>8.0000000000000004E-4</v>
      </c>
      <c r="AD243" s="233"/>
      <c r="AE243" s="233">
        <f>ROUND(AVERAGE(AE239:AE241),4)</f>
        <v>2.5000000000000001E-3</v>
      </c>
      <c r="AF243" s="233"/>
      <c r="AG243" s="233">
        <f>ROUND(AVERAGE(AG239:AG241),4)</f>
        <v>5.9999999999999995E-4</v>
      </c>
      <c r="AH243" s="381"/>
      <c r="AI243" s="233">
        <f>ROUND(AVERAGE(AI239:AI241),4)</f>
        <v>0</v>
      </c>
      <c r="AJ243" s="233"/>
      <c r="AK243" s="233">
        <f>ROUND(AVERAGE(AK239:AK241),4)</f>
        <v>0</v>
      </c>
      <c r="AL243" s="233"/>
      <c r="AM243" s="407">
        <f>ROUND(AVERAGE(AM239:AM241),4)</f>
        <v>5.0000000000000001E-4</v>
      </c>
      <c r="AN243" s="381"/>
      <c r="AO243" s="233">
        <f>ROUND(AVERAGE(AO239:AO241),4)</f>
        <v>-1.4E-3</v>
      </c>
      <c r="AP243" s="381"/>
      <c r="AQ243" s="233">
        <f>ROUND(AVERAGE(AQ239:AQ241),4)</f>
        <v>0</v>
      </c>
      <c r="AR243" s="382"/>
      <c r="AS243" s="233">
        <f>ROUND(AVERAGE(AS239:AS241),4)</f>
        <v>0</v>
      </c>
      <c r="AT243" s="381"/>
      <c r="AU243" s="407">
        <f>ROUND(AVERAGE(AU239:AU241),4)</f>
        <v>5.0000000000000001E-4</v>
      </c>
      <c r="AV243" s="381"/>
      <c r="AW243" s="233">
        <f>ROUND(AVERAGE(AW239:AW241),4)</f>
        <v>0</v>
      </c>
      <c r="AX243" s="233"/>
      <c r="AY243" s="233">
        <f>ROUND(AVERAGE(AY239:AY241),4)</f>
        <v>0</v>
      </c>
      <c r="AZ243" s="381"/>
      <c r="BA243" s="381"/>
      <c r="BB243" s="233">
        <f>ROUND(AVERAGE(BB239:BB241),4)</f>
        <v>0</v>
      </c>
      <c r="BC243" s="382"/>
      <c r="BD243" s="407">
        <f>ROUND(AVERAGE(BD239:BD241),4)</f>
        <v>8.9999999999999998E-4</v>
      </c>
      <c r="BE243" s="381"/>
      <c r="BF243" s="233">
        <f>ROUND(AVERAGE(BF239:BF241),4)</f>
        <v>0</v>
      </c>
    </row>
  </sheetData>
  <phoneticPr fontId="0" type="noConversion"/>
  <pageMargins left="0.41" right="0.2" top="0.25" bottom="0.57999999999999996" header="0.38" footer="0.33"/>
  <pageSetup paperSize="5" scale="56" fitToHeight="0" orientation="landscape" r:id="rId1"/>
  <headerFooter alignWithMargins="0">
    <oddFooter>Page &amp;P&amp;R&amp;Z&amp;F</oddFooter>
  </headerFooter>
  <rowBreaks count="2" manualBreakCount="2">
    <brk id="62" max="16383" man="1"/>
    <brk id="148" max="16383" man="1"/>
  </rowBreaks>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C00000"/>
  </sheetPr>
  <dimension ref="A1"/>
  <sheetViews>
    <sheetView topLeftCell="A40" workbookViewId="0"/>
  </sheetViews>
  <sheetFormatPr defaultRowHeight="12.75" x14ac:dyDescent="0.2"/>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F0"/>
    <pageSetUpPr fitToPage="1"/>
  </sheetPr>
  <dimension ref="A1:BQ219"/>
  <sheetViews>
    <sheetView showGridLines="0" topLeftCell="D1" zoomScale="85" zoomScaleNormal="85" zoomScaleSheetLayoutView="100" workbookViewId="0">
      <selection activeCell="A5" sqref="A5"/>
    </sheetView>
  </sheetViews>
  <sheetFormatPr defaultColWidth="9.140625" defaultRowHeight="12.75" x14ac:dyDescent="0.2"/>
  <cols>
    <col min="1" max="1" width="4" style="19" customWidth="1"/>
    <col min="2" max="2" width="0.85546875" style="5" customWidth="1"/>
    <col min="3" max="3" width="33.5703125" style="5" customWidth="1"/>
    <col min="4" max="4" width="5.7109375" style="5" customWidth="1"/>
    <col min="5" max="5" width="4" style="5" customWidth="1"/>
    <col min="6" max="6" width="1.42578125" style="5" customWidth="1"/>
    <col min="7" max="7" width="19.85546875" style="5" bestFit="1" customWidth="1"/>
    <col min="8" max="8" width="1.85546875" style="5" customWidth="1"/>
    <col min="9" max="9" width="17.42578125" style="8" customWidth="1"/>
    <col min="10" max="10" width="2.140625" style="5" customWidth="1"/>
    <col min="11" max="11" width="15.85546875" style="5" bestFit="1" customWidth="1"/>
    <col min="12" max="12" width="3" style="5" customWidth="1"/>
    <col min="13" max="13" width="15.42578125" style="5" bestFit="1" customWidth="1"/>
    <col min="14" max="14" width="2.5703125" style="45" customWidth="1"/>
    <col min="15" max="15" width="15.42578125" style="5" bestFit="1" customWidth="1"/>
    <col min="16" max="16" width="2.42578125" style="45" customWidth="1"/>
    <col min="17" max="17" width="16.85546875" style="5" bestFit="1" customWidth="1"/>
    <col min="18" max="18" width="3.140625" style="45" customWidth="1"/>
    <col min="19" max="19" width="15.42578125" style="5" bestFit="1" customWidth="1"/>
    <col min="20" max="20" width="0.85546875" style="45" customWidth="1"/>
    <col min="21" max="21" width="16.85546875" style="5" bestFit="1" customWidth="1"/>
    <col min="22" max="22" width="0.5703125" style="45" customWidth="1"/>
    <col min="23" max="23" width="16.85546875" style="5" bestFit="1" customWidth="1"/>
    <col min="24" max="24" width="4.7109375" style="45" customWidth="1"/>
    <col min="25" max="25" width="17" style="5" customWidth="1"/>
    <col min="26" max="26" width="2.140625" style="10" customWidth="1"/>
    <col min="27" max="27" width="14.28515625" style="10" bestFit="1" customWidth="1"/>
    <col min="28" max="28" width="2.5703125" style="10" customWidth="1"/>
    <col min="29" max="29" width="14.28515625" style="5" bestFit="1" customWidth="1"/>
    <col min="30" max="30" width="2.28515625" style="5" customWidth="1"/>
    <col min="31" max="31" width="11.5703125" style="5" bestFit="1" customWidth="1"/>
    <col min="32" max="32" width="2.42578125" style="5" customWidth="1"/>
    <col min="33" max="33" width="17.42578125" style="10" customWidth="1"/>
    <col min="34" max="34" width="2.42578125" style="10" customWidth="1"/>
    <col min="35" max="35" width="16.42578125" style="5" customWidth="1"/>
    <col min="36" max="36" width="2.7109375" style="5" customWidth="1"/>
    <col min="37" max="37" width="14.28515625" style="5" bestFit="1" customWidth="1"/>
    <col min="38" max="38" width="2.7109375" style="5" customWidth="1"/>
    <col min="39" max="39" width="11.7109375" style="5" customWidth="1"/>
    <col min="40" max="40" width="1.85546875" style="5" customWidth="1"/>
    <col min="41" max="41" width="12.140625" style="5" customWidth="1"/>
    <col min="42" max="42" width="1.7109375" style="5" customWidth="1"/>
    <col min="43" max="43" width="12.140625" style="5" customWidth="1"/>
    <col min="44" max="44" width="1.5703125" style="5" customWidth="1"/>
    <col min="45" max="45" width="11.5703125" style="5" customWidth="1"/>
    <col min="46" max="46" width="1.85546875" style="5" customWidth="1"/>
    <col min="47" max="47" width="13.5703125" style="5" customWidth="1"/>
    <col min="48" max="48" width="2.140625" style="5" customWidth="1"/>
    <col min="49" max="49" width="11" style="5" customWidth="1"/>
    <col min="50" max="50" width="1.7109375" style="5" customWidth="1"/>
    <col min="51" max="51" width="11.7109375" style="5" customWidth="1"/>
    <col min="52" max="52" width="2.140625" style="5" customWidth="1"/>
    <col min="53" max="53" width="2.5703125" style="5" customWidth="1"/>
    <col min="54" max="54" width="10.85546875" style="5" customWidth="1"/>
    <col min="55" max="55" width="1.7109375" style="5" customWidth="1"/>
    <col min="56" max="56" width="11.5703125" style="5" customWidth="1"/>
    <col min="57" max="57" width="2.28515625" style="5" customWidth="1"/>
    <col min="58" max="58" width="12.7109375" style="5" customWidth="1"/>
    <col min="59" max="59" width="13.7109375" style="5" customWidth="1"/>
    <col min="60" max="16384" width="9.140625" style="5"/>
  </cols>
  <sheetData>
    <row r="1" spans="1:58" s="12" customFormat="1" ht="13.5" thickBot="1" x14ac:dyDescent="0.25">
      <c r="A1" s="11" t="s">
        <v>325</v>
      </c>
      <c r="B1" s="11"/>
      <c r="C1" s="11"/>
      <c r="D1" s="11"/>
      <c r="E1" s="11"/>
      <c r="F1" s="11"/>
      <c r="G1" s="11"/>
      <c r="H1" s="11"/>
      <c r="I1" s="270"/>
      <c r="J1" s="11"/>
      <c r="K1" s="11"/>
      <c r="L1" s="11"/>
      <c r="X1" s="97"/>
      <c r="Y1" s="11"/>
      <c r="Z1" s="34"/>
      <c r="AA1" s="34"/>
      <c r="AB1" s="34"/>
      <c r="AC1" s="11"/>
      <c r="AD1" s="11"/>
      <c r="AE1" s="34"/>
      <c r="AF1" s="34"/>
      <c r="AG1" s="34"/>
      <c r="AH1" s="34"/>
      <c r="AI1" s="11"/>
      <c r="AJ1" s="11"/>
      <c r="AK1" s="11"/>
      <c r="AL1" s="11"/>
      <c r="AM1" s="11"/>
      <c r="AN1" s="34"/>
      <c r="AO1" s="34"/>
      <c r="AP1" s="97"/>
      <c r="AQ1" s="11"/>
      <c r="AR1" s="11"/>
      <c r="AS1" s="11"/>
      <c r="AT1" s="34"/>
      <c r="AU1" s="34"/>
      <c r="AV1" s="97"/>
      <c r="AW1" s="11"/>
      <c r="AX1" s="11"/>
      <c r="AY1" s="11"/>
      <c r="AZ1" s="34"/>
      <c r="BA1" s="97"/>
      <c r="BB1" s="11"/>
      <c r="BC1" s="11"/>
      <c r="BD1" s="11"/>
      <c r="BE1" s="34"/>
      <c r="BF1" s="34"/>
    </row>
    <row r="2" spans="1:58" s="12" customFormat="1" ht="16.5" thickBot="1" x14ac:dyDescent="0.3">
      <c r="A2" s="11"/>
      <c r="B2" s="11"/>
      <c r="C2" s="11"/>
      <c r="D2" s="11"/>
      <c r="E2" s="11"/>
      <c r="F2" s="11"/>
      <c r="G2" s="11"/>
      <c r="H2" s="11"/>
      <c r="I2" s="38"/>
      <c r="J2" s="11"/>
      <c r="K2" s="11"/>
      <c r="L2" s="11"/>
      <c r="M2" s="11"/>
      <c r="N2" s="97"/>
      <c r="O2" s="283" t="s">
        <v>332</v>
      </c>
      <c r="P2" s="280"/>
      <c r="Q2" s="280"/>
      <c r="R2" s="280"/>
      <c r="S2" s="280"/>
      <c r="T2" s="280"/>
      <c r="U2" s="281"/>
      <c r="V2" s="280"/>
      <c r="W2" s="280"/>
      <c r="X2" s="280"/>
      <c r="Y2" s="280"/>
      <c r="Z2" s="280"/>
      <c r="AA2" s="282"/>
      <c r="AB2" s="34"/>
      <c r="AC2" s="11"/>
      <c r="AD2" s="11"/>
      <c r="AE2" s="34"/>
      <c r="AF2" s="34"/>
      <c r="AG2" s="34"/>
      <c r="AH2" s="34"/>
      <c r="AI2" s="11"/>
      <c r="AJ2" s="11"/>
      <c r="AK2" s="11"/>
      <c r="AL2" s="11"/>
      <c r="AM2" s="11"/>
      <c r="AN2" s="34"/>
      <c r="AO2" s="34"/>
      <c r="AP2" s="97"/>
      <c r="AQ2" s="11"/>
      <c r="AR2" s="11"/>
      <c r="AS2" s="11"/>
      <c r="AT2" s="34"/>
      <c r="AU2" s="34"/>
      <c r="AV2" s="97"/>
      <c r="AW2" s="11"/>
      <c r="AX2" s="11"/>
      <c r="AY2" s="11"/>
      <c r="AZ2" s="34"/>
      <c r="BA2" s="97"/>
      <c r="BB2" s="11"/>
      <c r="BC2" s="11"/>
      <c r="BD2" s="11"/>
      <c r="BE2" s="34"/>
      <c r="BF2" s="34"/>
    </row>
    <row r="3" spans="1:58" s="12" customFormat="1" x14ac:dyDescent="0.2">
      <c r="A3" s="39" t="s">
        <v>0</v>
      </c>
      <c r="B3" s="11"/>
      <c r="C3" s="11"/>
      <c r="D3" s="11"/>
      <c r="E3" s="11"/>
      <c r="F3" s="11"/>
      <c r="G3" s="11"/>
      <c r="H3" s="11"/>
      <c r="I3" s="38"/>
      <c r="J3" s="11"/>
      <c r="K3" s="11"/>
      <c r="L3" s="11"/>
      <c r="M3" s="11"/>
      <c r="N3" s="97"/>
      <c r="O3" s="11"/>
      <c r="P3" s="97"/>
      <c r="Q3" s="11"/>
      <c r="R3" s="97"/>
      <c r="T3" s="97"/>
      <c r="U3" s="11"/>
      <c r="V3" s="97"/>
      <c r="W3" s="11"/>
      <c r="X3" s="97"/>
      <c r="Y3" s="130"/>
      <c r="Z3" s="34"/>
      <c r="AA3" s="34"/>
      <c r="AB3" s="34"/>
      <c r="AC3" s="11"/>
      <c r="AD3" s="11"/>
      <c r="AE3" s="34"/>
      <c r="AF3" s="34"/>
      <c r="AG3" s="34"/>
      <c r="AH3" s="34"/>
      <c r="AI3" s="11"/>
      <c r="AJ3" s="11"/>
      <c r="AK3" s="11"/>
      <c r="AL3" s="11"/>
      <c r="AM3" s="11"/>
      <c r="AN3" s="34"/>
      <c r="AO3" s="34"/>
      <c r="AP3" s="97"/>
      <c r="AQ3" s="11"/>
      <c r="AR3" s="11"/>
      <c r="AS3" s="11"/>
      <c r="AT3" s="34"/>
      <c r="AU3" s="34"/>
      <c r="AV3" s="97"/>
      <c r="AW3" s="11"/>
      <c r="AX3" s="11"/>
      <c r="AY3" s="11"/>
      <c r="AZ3" s="34"/>
      <c r="BA3" s="97"/>
      <c r="BB3" s="11"/>
      <c r="BC3" s="11"/>
      <c r="BD3" s="11"/>
      <c r="BE3" s="34"/>
      <c r="BF3" s="34"/>
    </row>
    <row r="4" spans="1:58" s="12" customFormat="1" x14ac:dyDescent="0.2">
      <c r="A4" s="39" t="s">
        <v>322</v>
      </c>
      <c r="B4" s="11"/>
      <c r="C4" s="11"/>
      <c r="D4" s="11"/>
      <c r="E4" s="11"/>
      <c r="F4" s="11"/>
      <c r="G4" s="11"/>
      <c r="H4" s="11"/>
      <c r="I4" s="38"/>
      <c r="J4" s="11"/>
      <c r="K4" s="11"/>
      <c r="L4" s="11"/>
      <c r="M4" s="11"/>
      <c r="N4" s="97"/>
      <c r="O4" s="11"/>
      <c r="P4" s="97"/>
      <c r="Q4" s="11"/>
      <c r="R4" s="97"/>
      <c r="T4" s="97"/>
      <c r="U4" s="11"/>
      <c r="V4" s="97"/>
      <c r="W4" s="11"/>
      <c r="X4" s="97"/>
      <c r="Y4" s="11"/>
      <c r="Z4" s="34"/>
      <c r="AA4" s="34"/>
      <c r="AB4" s="34"/>
      <c r="AC4" s="11"/>
      <c r="AD4" s="11"/>
      <c r="AE4" s="34"/>
      <c r="AF4" s="34"/>
      <c r="AG4" s="34"/>
      <c r="AH4" s="34"/>
      <c r="AI4" s="141"/>
      <c r="AJ4" s="141"/>
      <c r="AK4" s="11"/>
      <c r="AL4" s="11"/>
      <c r="AM4" s="11"/>
      <c r="AN4" s="34"/>
      <c r="AO4" s="34"/>
      <c r="AP4" s="97"/>
      <c r="AQ4" s="11"/>
      <c r="AR4" s="11"/>
      <c r="AS4" s="11"/>
      <c r="AT4" s="34"/>
      <c r="AU4" s="34"/>
      <c r="AV4" s="97"/>
      <c r="AW4" s="11"/>
      <c r="AX4" s="11"/>
      <c r="AY4" s="11"/>
      <c r="AZ4" s="34"/>
      <c r="BA4" s="97"/>
      <c r="BB4" s="11"/>
      <c r="BC4" s="11"/>
      <c r="BD4" s="11"/>
      <c r="BE4" s="34"/>
      <c r="BF4" s="34"/>
    </row>
    <row r="5" spans="1:58" s="12" customFormat="1" x14ac:dyDescent="0.2">
      <c r="A5" s="40"/>
      <c r="I5" s="41"/>
      <c r="N5" s="98"/>
      <c r="P5" s="98"/>
      <c r="R5" s="98"/>
      <c r="T5" s="98"/>
      <c r="V5" s="98"/>
      <c r="X5" s="98"/>
      <c r="AI5" s="112"/>
      <c r="AJ5" s="112"/>
      <c r="AP5" s="98"/>
      <c r="AV5" s="98"/>
      <c r="BA5" s="98"/>
    </row>
    <row r="6" spans="1:58" s="6" customFormat="1" x14ac:dyDescent="0.2">
      <c r="A6" s="40"/>
      <c r="I6" s="80">
        <v>30</v>
      </c>
      <c r="K6" s="6">
        <v>60</v>
      </c>
      <c r="M6" s="6">
        <v>20</v>
      </c>
      <c r="N6" s="20"/>
      <c r="O6" s="6">
        <v>20</v>
      </c>
      <c r="P6" s="20"/>
      <c r="Q6" s="6">
        <v>50</v>
      </c>
      <c r="R6" s="20"/>
      <c r="S6" s="6">
        <v>70</v>
      </c>
      <c r="T6" s="20"/>
      <c r="U6" s="6">
        <v>80</v>
      </c>
      <c r="V6" s="20"/>
      <c r="W6" s="6">
        <v>180</v>
      </c>
      <c r="X6" s="20"/>
      <c r="Y6" s="139">
        <v>212</v>
      </c>
      <c r="AA6" s="139">
        <v>232</v>
      </c>
      <c r="AC6" s="139">
        <v>233</v>
      </c>
      <c r="AE6" s="139">
        <v>303</v>
      </c>
      <c r="AG6" s="140" t="s">
        <v>102</v>
      </c>
      <c r="AI6" s="140">
        <v>221</v>
      </c>
      <c r="AK6" s="140">
        <v>231</v>
      </c>
      <c r="AM6" s="140">
        <v>234</v>
      </c>
      <c r="AO6" s="140">
        <v>236</v>
      </c>
      <c r="AP6" s="20"/>
      <c r="AQ6" s="140">
        <v>237</v>
      </c>
      <c r="AS6" s="140">
        <v>239</v>
      </c>
      <c r="AU6" s="140">
        <v>240</v>
      </c>
      <c r="AV6" s="20"/>
      <c r="AW6" s="140">
        <v>301</v>
      </c>
      <c r="AY6" s="140">
        <v>302</v>
      </c>
      <c r="BA6" s="20"/>
      <c r="BB6" s="140">
        <v>306</v>
      </c>
      <c r="BD6" s="140">
        <v>312</v>
      </c>
      <c r="BF6" s="140">
        <v>321</v>
      </c>
    </row>
    <row r="7" spans="1:58" s="6" customFormat="1" ht="15.75" x14ac:dyDescent="0.25">
      <c r="A7" s="40"/>
      <c r="C7" s="131" t="s">
        <v>79</v>
      </c>
      <c r="E7" s="145"/>
      <c r="F7" s="145"/>
      <c r="G7" s="145"/>
      <c r="H7" s="145"/>
      <c r="AG7" s="253" t="s">
        <v>323</v>
      </c>
      <c r="AP7" s="20"/>
      <c r="AV7" s="20"/>
      <c r="BA7" s="20"/>
    </row>
    <row r="8" spans="1:58" s="6" customFormat="1" ht="25.5" x14ac:dyDescent="0.2">
      <c r="A8" s="42" t="s">
        <v>8</v>
      </c>
      <c r="B8" s="43"/>
      <c r="C8" s="44"/>
      <c r="E8" s="20"/>
      <c r="G8" s="7" t="s">
        <v>1</v>
      </c>
      <c r="I8" s="81" t="s">
        <v>13</v>
      </c>
      <c r="K8" s="7" t="s">
        <v>10</v>
      </c>
      <c r="M8" s="7" t="s">
        <v>11</v>
      </c>
      <c r="N8" s="20"/>
      <c r="O8" s="7" t="s">
        <v>12</v>
      </c>
      <c r="P8" s="20"/>
      <c r="Q8" s="109" t="s">
        <v>82</v>
      </c>
      <c r="R8" s="20"/>
      <c r="S8" s="7" t="s">
        <v>81</v>
      </c>
      <c r="T8" s="20"/>
      <c r="U8" s="7" t="s">
        <v>14</v>
      </c>
      <c r="V8" s="20"/>
      <c r="W8" s="9" t="s">
        <v>83</v>
      </c>
      <c r="X8" s="20"/>
      <c r="Y8" s="7" t="s">
        <v>84</v>
      </c>
      <c r="AA8" s="9" t="s">
        <v>115</v>
      </c>
      <c r="AB8" s="9"/>
      <c r="AC8" s="9" t="s">
        <v>85</v>
      </c>
      <c r="AD8" s="9"/>
      <c r="AE8" s="9" t="s">
        <v>87</v>
      </c>
      <c r="AF8" s="134"/>
      <c r="AG8" s="6" t="s">
        <v>122</v>
      </c>
      <c r="AI8" s="9" t="s">
        <v>113</v>
      </c>
      <c r="AJ8" s="9"/>
      <c r="AK8" s="9" t="s">
        <v>114</v>
      </c>
      <c r="AL8" s="9"/>
      <c r="AM8" s="9" t="s">
        <v>116</v>
      </c>
      <c r="AO8" s="9" t="s">
        <v>86</v>
      </c>
      <c r="AP8" s="20"/>
      <c r="AQ8" s="9" t="s">
        <v>117</v>
      </c>
      <c r="AS8" s="9">
        <v>239</v>
      </c>
      <c r="AU8" s="9">
        <v>240</v>
      </c>
      <c r="AV8" s="20"/>
      <c r="AW8" s="9" t="s">
        <v>319</v>
      </c>
      <c r="AX8" s="9"/>
      <c r="AY8" s="9" t="s">
        <v>118</v>
      </c>
      <c r="BA8" s="20"/>
      <c r="BB8" s="9" t="s">
        <v>119</v>
      </c>
      <c r="BD8" s="9" t="s">
        <v>120</v>
      </c>
      <c r="BF8" s="9" t="s">
        <v>121</v>
      </c>
    </row>
    <row r="9" spans="1:58" x14ac:dyDescent="0.2">
      <c r="G9" s="45"/>
      <c r="H9" s="45"/>
      <c r="I9" s="46"/>
      <c r="AE9" s="10"/>
      <c r="AF9" s="10"/>
      <c r="AN9" s="10"/>
      <c r="AO9" s="10"/>
      <c r="AP9" s="45"/>
      <c r="AT9" s="10"/>
      <c r="AU9" s="10"/>
      <c r="AV9" s="45"/>
      <c r="AZ9" s="10"/>
      <c r="BA9" s="45"/>
      <c r="BE9" s="10"/>
      <c r="BF9" s="10"/>
    </row>
    <row r="10" spans="1:58" s="3" customFormat="1" x14ac:dyDescent="0.2">
      <c r="A10" s="19"/>
      <c r="C10" s="2" t="s">
        <v>2</v>
      </c>
      <c r="D10" s="10"/>
      <c r="E10" s="3" t="s">
        <v>3</v>
      </c>
      <c r="G10" s="254">
        <f>SUM(I10:AG10)</f>
        <v>9284626781.8800011</v>
      </c>
      <c r="H10" s="46"/>
      <c r="I10" s="110">
        <f>111111755.38+1036135.7+291802217.19+3668690.77+10307337.65+5686697.48+143196783.85+46245.55+422674.94+35022272.53+8010840.32+42370454.13+63045.86</f>
        <v>652745151.35000002</v>
      </c>
      <c r="J10" s="8"/>
      <c r="K10" s="110">
        <f>1357147.61+95429427.25+47696363.93+49550677.42+40952885.09+321775449.43+8051.75</f>
        <v>556770002.48000002</v>
      </c>
      <c r="L10" s="8"/>
      <c r="M10" s="110">
        <v>220793722.37</v>
      </c>
      <c r="N10" s="46"/>
      <c r="O10" s="110">
        <v>568893959.82000005</v>
      </c>
      <c r="P10" s="46"/>
      <c r="Q10" s="110">
        <f>470188396.2+4746112.82+459640792.88+82079245.37+66181.17+544441.93</f>
        <v>1017265170.3699999</v>
      </c>
      <c r="R10" s="46"/>
      <c r="S10" s="110">
        <f>519144964.42+904878.41+11746000</f>
        <v>531795842.83000004</v>
      </c>
      <c r="T10" s="46"/>
      <c r="U10" s="110">
        <v>3663720621.48</v>
      </c>
      <c r="V10" s="46"/>
      <c r="W10" s="110">
        <v>1980795728.6500001</v>
      </c>
      <c r="X10" s="46"/>
      <c r="Y10" s="110">
        <f>-12750.26+308563.83+890348.17+3698410.44+974987.74+27074970.43+356990.41+85583.51+152803.5+39783.66+3852534.72</f>
        <v>37422226.149999999</v>
      </c>
      <c r="Z10" s="8"/>
      <c r="AA10" s="110">
        <f>230267.07+8527187.75</f>
        <v>8757454.8200000003</v>
      </c>
      <c r="AB10" s="110"/>
      <c r="AC10" s="110">
        <f>378597.02+14159264.32</f>
        <v>14537861.34</v>
      </c>
      <c r="AD10" s="110"/>
      <c r="AE10" s="110">
        <f>127993.95+27293.55-8892.99+22284608.91+63809.88+21359.49</f>
        <v>22516172.789999999</v>
      </c>
      <c r="AF10" s="46"/>
      <c r="AG10" s="8">
        <f>AI10+AK10+AM10+AO10+AQ10+AS10+AU10+AW10+AY10+BB10+BD10+BF10</f>
        <v>8612867.4299999997</v>
      </c>
      <c r="AH10" s="8"/>
      <c r="AI10" s="110">
        <v>0</v>
      </c>
      <c r="AJ10" s="110"/>
      <c r="AK10" s="110">
        <v>284890.77</v>
      </c>
      <c r="AL10" s="110"/>
      <c r="AM10" s="110">
        <v>8275608</v>
      </c>
      <c r="AN10" s="8"/>
      <c r="AO10" s="110">
        <v>0</v>
      </c>
      <c r="AP10" s="46"/>
      <c r="AQ10" s="110">
        <v>0</v>
      </c>
      <c r="AR10" s="4"/>
      <c r="AS10" s="110">
        <v>0</v>
      </c>
      <c r="AT10" s="8"/>
      <c r="AU10" s="110"/>
      <c r="AV10" s="46"/>
      <c r="AW10" s="110">
        <v>52368.66</v>
      </c>
      <c r="AX10" s="110"/>
      <c r="AY10" s="110">
        <v>0</v>
      </c>
      <c r="AZ10" s="8"/>
      <c r="BA10" s="46"/>
      <c r="BB10" s="110">
        <v>0</v>
      </c>
      <c r="BC10" s="4"/>
      <c r="BD10" s="110">
        <v>0</v>
      </c>
      <c r="BE10" s="8"/>
      <c r="BF10" s="110">
        <v>0</v>
      </c>
    </row>
    <row r="11" spans="1:58" s="3" customFormat="1" x14ac:dyDescent="0.2">
      <c r="A11" s="19"/>
      <c r="C11" s="3" t="s">
        <v>4</v>
      </c>
      <c r="D11" s="10"/>
      <c r="E11" s="3" t="s">
        <v>5</v>
      </c>
      <c r="G11" s="82">
        <f>SUM(I11:AG11)</f>
        <v>3092191.083333333</v>
      </c>
      <c r="H11" s="46"/>
      <c r="I11" s="111">
        <f>'Sum customer count'!D2</f>
        <v>299655.58333333331</v>
      </c>
      <c r="J11" s="8"/>
      <c r="K11" s="110">
        <f>'Sum customer count'!D3</f>
        <v>249509.25</v>
      </c>
      <c r="L11" s="8"/>
      <c r="M11" s="110">
        <f>'Sum customer count'!B4</f>
        <v>74383.416666666672</v>
      </c>
      <c r="N11" s="46"/>
      <c r="O11" s="110">
        <f>'Sum customer count'!C4</f>
        <v>273973.91666666669</v>
      </c>
      <c r="P11" s="46"/>
      <c r="Q11" s="110">
        <f>'Sum customer count'!D5</f>
        <v>337869.5</v>
      </c>
      <c r="R11" s="46"/>
      <c r="S11" s="110">
        <f>'Sum customer count'!D6</f>
        <v>247834.75</v>
      </c>
      <c r="T11" s="46"/>
      <c r="U11" s="110">
        <f>'Sum customer count'!D7</f>
        <v>1607562.9166666667</v>
      </c>
      <c r="V11" s="46"/>
      <c r="W11" s="110">
        <f>'Sum customer count'!D8</f>
        <v>315.75</v>
      </c>
      <c r="X11" s="46"/>
      <c r="Y11" s="110">
        <v>1066</v>
      </c>
      <c r="Z11" s="8"/>
      <c r="AA11" s="110"/>
      <c r="AB11" s="110"/>
      <c r="AC11" s="110"/>
      <c r="AD11" s="110"/>
      <c r="AE11" s="110">
        <v>20</v>
      </c>
      <c r="AF11" s="46"/>
      <c r="AG11" s="8">
        <f t="shared" ref="AG11" si="0">AI11+AK11+AM11+AO11+AQ11+AS11+AU11+AW11+AY11+BB11+BD11+BF11</f>
        <v>0</v>
      </c>
      <c r="AH11" s="8"/>
      <c r="AI11" s="110"/>
      <c r="AJ11" s="110"/>
      <c r="AK11" s="110"/>
      <c r="AL11" s="110"/>
      <c r="AM11" s="110"/>
      <c r="AN11" s="8"/>
      <c r="AO11" s="110"/>
      <c r="AP11" s="46"/>
      <c r="AQ11" s="110"/>
      <c r="AR11" s="4"/>
      <c r="AS11" s="110"/>
      <c r="AT11" s="8"/>
      <c r="AU11" s="110"/>
      <c r="AV11" s="46"/>
      <c r="AW11" s="110"/>
      <c r="AX11" s="110"/>
      <c r="AY11" s="110"/>
      <c r="AZ11" s="8"/>
      <c r="BA11" s="46"/>
      <c r="BB11" s="110"/>
      <c r="BC11" s="4"/>
      <c r="BD11" s="110"/>
      <c r="BE11" s="8"/>
      <c r="BF11" s="110"/>
    </row>
    <row r="12" spans="1:58" s="3" customFormat="1" x14ac:dyDescent="0.2">
      <c r="A12" s="19"/>
      <c r="C12" s="2" t="s">
        <v>15</v>
      </c>
      <c r="D12" s="10"/>
      <c r="E12" s="3" t="s">
        <v>3</v>
      </c>
      <c r="G12" s="254">
        <f>SUM(I12:AG12)</f>
        <v>406452781.32999998</v>
      </c>
      <c r="H12" s="46"/>
      <c r="I12" s="111">
        <f>6628.58+65096.31+1803441.94+3683865.53+248000.38+14401.57+9476919.44+148866.34+16.44+2494.62+3364133.41+113358.97+31774.76-46118.07+9618220.8+1343453.2</f>
        <v>29874554.219999999</v>
      </c>
      <c r="J12" s="8"/>
      <c r="K12" s="110">
        <f>5499295.18+2536318.43+2431794.63+1646396.93+1282463.97+734158.4+0.01+11962639.37</f>
        <v>26093066.919999998</v>
      </c>
      <c r="L12" s="8"/>
      <c r="M12" s="111">
        <f>7079219.58+1840719.36+6.06</f>
        <v>8919945</v>
      </c>
      <c r="N12" s="46"/>
      <c r="O12" s="111">
        <f>18743856.06+5380619.81+17.69</f>
        <v>24124493.559999999</v>
      </c>
      <c r="P12" s="46"/>
      <c r="Q12" s="110">
        <f>15069805.92+11260780.13-332936.76+10068874.73</f>
        <v>36066524.019999996</v>
      </c>
      <c r="R12" s="46"/>
      <c r="S12" s="110">
        <v>28949598.719999999</v>
      </c>
      <c r="T12" s="46"/>
      <c r="U12" s="110">
        <f>111825919.82+681.21+98.9-79055.97</f>
        <v>111747643.95999999</v>
      </c>
      <c r="V12" s="46"/>
      <c r="W12" s="110">
        <f>105042225.06+3747.02+1651138.93</f>
        <v>106697111.01000001</v>
      </c>
      <c r="X12" s="46"/>
      <c r="Y12" s="111">
        <f>395+250813.6+2748.01+20273166.22+3296737.71+398864.27+961201.44+678924.2+4656.8+363194.61+724217.89+97143.2+90153.91</f>
        <v>27142216.859999999</v>
      </c>
      <c r="Z12" s="8"/>
      <c r="AA12" s="110">
        <v>445539.89</v>
      </c>
      <c r="AB12" s="110"/>
      <c r="AC12" s="110">
        <v>1787409.05</v>
      </c>
      <c r="AD12" s="110"/>
      <c r="AE12" s="110">
        <f>30.95+965409.99+100159.98+18875.19</f>
        <v>1084476.1099999999</v>
      </c>
      <c r="AF12" s="46"/>
      <c r="AG12" s="8">
        <f>AI12+AK12+AM12+AO12+AQ12+AS12+AU12+AW12+AY12+BB12+BD12+BF12</f>
        <v>3520202.0100000007</v>
      </c>
      <c r="AH12" s="8"/>
      <c r="AI12" s="110">
        <v>3365.19</v>
      </c>
      <c r="AJ12" s="110"/>
      <c r="AK12" s="110">
        <v>5446.37</v>
      </c>
      <c r="AL12" s="110"/>
      <c r="AM12" s="110">
        <v>566048.19999999995</v>
      </c>
      <c r="AN12" s="8"/>
      <c r="AO12" s="110">
        <f>82685.61+36537.08+404243.56+1824205.07+61832.34+24888.89</f>
        <v>2434392.5500000003</v>
      </c>
      <c r="AP12" s="46"/>
      <c r="AQ12" s="110">
        <v>449.2</v>
      </c>
      <c r="AR12" s="4"/>
      <c r="AS12" s="110">
        <v>0</v>
      </c>
      <c r="AT12" s="8"/>
      <c r="AU12" s="110">
        <v>0</v>
      </c>
      <c r="AV12" s="46"/>
      <c r="AW12" s="110">
        <v>28952.77</v>
      </c>
      <c r="AX12" s="110"/>
      <c r="AY12" s="110">
        <v>2944.88</v>
      </c>
      <c r="AZ12" s="8"/>
      <c r="BA12" s="46"/>
      <c r="BB12" s="110">
        <v>456820.46</v>
      </c>
      <c r="BC12" s="4"/>
      <c r="BD12" s="110">
        <v>21782.39</v>
      </c>
      <c r="BE12" s="8"/>
      <c r="BF12" s="110">
        <v>0</v>
      </c>
    </row>
    <row r="13" spans="1:58" s="3" customFormat="1" x14ac:dyDescent="0.2">
      <c r="A13" s="19"/>
      <c r="C13" s="47" t="s">
        <v>16</v>
      </c>
      <c r="D13" s="10"/>
      <c r="G13" s="48"/>
      <c r="H13" s="8"/>
      <c r="I13" s="1"/>
      <c r="J13" s="4"/>
      <c r="K13" s="1"/>
      <c r="L13" s="4"/>
      <c r="M13" s="1"/>
      <c r="N13" s="1"/>
      <c r="O13" s="1"/>
      <c r="P13" s="1"/>
      <c r="Q13" s="1"/>
      <c r="R13" s="1"/>
      <c r="S13" s="1"/>
      <c r="T13" s="1"/>
      <c r="U13" s="1"/>
      <c r="V13" s="1"/>
      <c r="W13" s="18"/>
      <c r="X13" s="1"/>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row>
    <row r="14" spans="1:58" x14ac:dyDescent="0.2">
      <c r="A14" s="49" t="s">
        <v>9</v>
      </c>
      <c r="B14" s="44"/>
      <c r="D14" s="10"/>
      <c r="G14" s="50"/>
      <c r="I14" s="107"/>
      <c r="K14" s="35"/>
      <c r="Q14" s="35"/>
      <c r="AE14" s="10"/>
      <c r="AF14" s="10"/>
      <c r="AI14" s="35"/>
      <c r="AJ14" s="35"/>
      <c r="AN14" s="10"/>
      <c r="AO14" s="10"/>
      <c r="AP14" s="45"/>
      <c r="AT14" s="10"/>
      <c r="AU14" s="10"/>
      <c r="AV14" s="45"/>
      <c r="AZ14" s="10"/>
      <c r="BA14" s="45"/>
      <c r="BE14" s="10"/>
      <c r="BF14" s="10"/>
    </row>
    <row r="15" spans="1:58" s="14" customFormat="1" x14ac:dyDescent="0.2">
      <c r="A15" s="19"/>
      <c r="C15" s="2" t="s">
        <v>2</v>
      </c>
      <c r="D15" s="10"/>
      <c r="E15" s="14" t="s">
        <v>6</v>
      </c>
      <c r="G15" s="84">
        <f>SUM(I15:AG15)</f>
        <v>-9.0314040968042519E-17</v>
      </c>
      <c r="H15" s="85"/>
      <c r="I15" s="279">
        <f>'Composite FY17'!I15-'[2]Composite FY15FINAL'!I15</f>
        <v>-9.0000000000012292E-4</v>
      </c>
      <c r="J15" s="85"/>
      <c r="K15" s="279">
        <f>'Composite FY17'!K15-'[2]Composite FY15FINAL'!K15</f>
        <v>-5.7000000000000037E-3</v>
      </c>
      <c r="L15" s="85"/>
      <c r="M15" s="279">
        <f>'Composite FY17'!M15-'[2]Composite FY15FINAL'!M15</f>
        <v>5.0000000000000044E-4</v>
      </c>
      <c r="N15" s="88"/>
      <c r="O15" s="279">
        <f>'Composite FY17'!O15-'[2]Composite FY15FINAL'!O15</f>
        <v>-3.4000000000000002E-3</v>
      </c>
      <c r="P15" s="88"/>
      <c r="Q15" s="279">
        <f>'Composite FY17'!Q15-'[2]Composite FY15FINAL'!Q15</f>
        <v>-4.7999999999999987E-3</v>
      </c>
      <c r="R15" s="88"/>
      <c r="S15" s="279">
        <f>'Composite FY17'!S15-'[2]Composite FY15FINAL'!S15</f>
        <v>-3.0000000000000027E-3</v>
      </c>
      <c r="T15" s="88"/>
      <c r="U15" s="279">
        <f>'Composite FY17'!U15-'[2]Composite FY15FINAL'!U15</f>
        <v>-1.6899999999999971E-2</v>
      </c>
      <c r="V15" s="88"/>
      <c r="W15" s="279">
        <f>'Composite FY17'!W15-'[2]Composite FY15FINAL'!W15</f>
        <v>3.9500000000000007E-2</v>
      </c>
      <c r="X15" s="88"/>
      <c r="Y15" s="279">
        <f>'Composite FY17'!Y15-'[2]Composite FY15FINAL'!Y15</f>
        <v>-4.1999999999999997E-3</v>
      </c>
      <c r="AA15" s="279">
        <f>'Composite FY17'!AA15-'[2]Composite FY15FINAL'!AA15</f>
        <v>-1.0000000000000005E-4</v>
      </c>
      <c r="AB15" s="84"/>
      <c r="AC15" s="279">
        <f>'Composite FY17'!AC15-'[2]Composite FY15FINAL'!AC15</f>
        <v>-8.9999999999999987E-4</v>
      </c>
      <c r="AD15" s="84"/>
      <c r="AE15" s="279">
        <f>'Composite FY17'!AE15-'[2]Composite FY15FINAL'!AE15</f>
        <v>-6.9999999999999967E-4</v>
      </c>
      <c r="AF15" s="88"/>
      <c r="AG15" s="279">
        <f>'Composite FY17'!AG15-'[2]Composite FY15FINAL'!AG15</f>
        <v>6.0000000000000006E-4</v>
      </c>
      <c r="AI15" s="279">
        <f>'Composite FY17'!AI15-'[2]Composite FY15FINAL'!AI15</f>
        <v>0</v>
      </c>
      <c r="AJ15" s="84"/>
      <c r="AK15" s="279">
        <f>'Composite FY17'!AK15-'[2]Composite FY15FINAL'!AK15</f>
        <v>0</v>
      </c>
      <c r="AL15" s="84"/>
      <c r="AM15" s="279" t="e">
        <f>'Composite FY17'!#REF!-'[2]Composite FY15FINAL'!AM15</f>
        <v>#REF!</v>
      </c>
      <c r="AO15" s="279">
        <f>'Composite FY17'!AO15-'[2]Composite FY15FINAL'!AO15</f>
        <v>-4.0000000000000002E-4</v>
      </c>
      <c r="AP15" s="88"/>
      <c r="AQ15" s="279">
        <f>'Composite FY17'!AQ15-'[2]Composite FY15FINAL'!AQ15</f>
        <v>0</v>
      </c>
      <c r="AR15" s="13"/>
      <c r="AS15" s="279">
        <f>'Composite FY17'!AS15-'[2]Composite FY15FINAL'!AS15</f>
        <v>0</v>
      </c>
      <c r="AU15" s="279">
        <f>'Composite FY17'!AU15-'[2]Composite FY15FINAL'!AU15</f>
        <v>5.0000000000000001E-4</v>
      </c>
      <c r="AV15" s="88"/>
      <c r="AW15" s="279">
        <f>'Composite FY17'!AW15-'[2]Composite FY15FINAL'!AW15</f>
        <v>0</v>
      </c>
      <c r="AX15" s="84"/>
      <c r="AY15" s="279">
        <f>'Composite FY17'!AY15-'[2]Composite FY15FINAL'!AY15</f>
        <v>0</v>
      </c>
      <c r="BA15" s="88"/>
      <c r="BB15" s="279">
        <f>'Composite FY17'!BB15-'[2]Composite FY15FINAL'!BB15</f>
        <v>-1E-4</v>
      </c>
      <c r="BC15" s="13"/>
      <c r="BD15" s="279">
        <f>'Composite FY17'!BD15-'[2]Composite FY15FINAL'!BD15</f>
        <v>0</v>
      </c>
      <c r="BF15" s="279">
        <f>'Composite FY17'!BF15-'[2]Composite FY15FINAL'!BF15</f>
        <v>0</v>
      </c>
    </row>
    <row r="16" spans="1:58" s="14" customFormat="1" x14ac:dyDescent="0.2">
      <c r="A16" s="19"/>
      <c r="C16" s="3" t="s">
        <v>4</v>
      </c>
      <c r="D16" s="10"/>
      <c r="E16" s="14" t="s">
        <v>6</v>
      </c>
      <c r="G16" s="87">
        <f>SUM(I16:AG16)</f>
        <v>-5.6690221093835813E-17</v>
      </c>
      <c r="H16" s="85"/>
      <c r="I16" s="279">
        <f>'Composite FY17'!I16-'[2]Composite FY15FINAL'!I16</f>
        <v>-1.0000000000000009E-3</v>
      </c>
      <c r="J16" s="85"/>
      <c r="K16" s="279">
        <f>'Composite FY17'!K16-'[2]Composite FY15FINAL'!K16</f>
        <v>1.2999999999999956E-3</v>
      </c>
      <c r="L16" s="85"/>
      <c r="M16" s="279">
        <f>'Composite FY17'!M16-'[2]Composite FY15FINAL'!M16</f>
        <v>-3.0000000000000165E-4</v>
      </c>
      <c r="N16" s="88"/>
      <c r="O16" s="279">
        <f>'Composite FY17'!O16-'[2]Composite FY15FINAL'!O16</f>
        <v>-3.0000000000000859E-4</v>
      </c>
      <c r="P16" s="88"/>
      <c r="Q16" s="279">
        <f>'Composite FY17'!Q16-'[2]Composite FY15FINAL'!Q16</f>
        <v>6.999999999999923E-4</v>
      </c>
      <c r="R16" s="88"/>
      <c r="S16" s="279">
        <f>'Composite FY17'!S16-'[2]Composite FY15FINAL'!S16</f>
        <v>-1.5000000000000013E-3</v>
      </c>
      <c r="T16" s="88"/>
      <c r="U16" s="279">
        <f>'Composite FY17'!U16-'[2]Composite FY15FINAL'!U16</f>
        <v>1.2999999999999678E-3</v>
      </c>
      <c r="V16" s="88"/>
      <c r="W16" s="279">
        <f>'Composite FY17'!W16-'[2]Composite FY15FINAL'!W16</f>
        <v>0</v>
      </c>
      <c r="X16" s="88"/>
      <c r="Y16" s="279">
        <f>'Composite FY17'!Y16-'[2]Composite FY15FINAL'!Y16</f>
        <v>-2.9999999999999997E-4</v>
      </c>
      <c r="AA16" s="279">
        <f>'Composite FY17'!AA16-'[2]Composite FY15FINAL'!AA16</f>
        <v>0</v>
      </c>
      <c r="AB16" s="84"/>
      <c r="AC16" s="279">
        <f>'Composite FY17'!AC16-'[2]Composite FY15FINAL'!AC16</f>
        <v>0</v>
      </c>
      <c r="AD16" s="84"/>
      <c r="AE16" s="279">
        <f>'Composite FY17'!AE16-'[2]Composite FY15FINAL'!AE16</f>
        <v>0</v>
      </c>
      <c r="AF16" s="88"/>
      <c r="AG16" s="279">
        <f>'Composite FY17'!AG16-'[2]Composite FY15FINAL'!AG16</f>
        <v>1E-4</v>
      </c>
      <c r="AI16" s="279">
        <f>'Composite FY17'!AI16-'[2]Composite FY15FINAL'!AI16</f>
        <v>0</v>
      </c>
      <c r="AJ16" s="84"/>
      <c r="AK16" s="279">
        <f>'Composite FY17'!AK16-'[2]Composite FY15FINAL'!AK16</f>
        <v>0</v>
      </c>
      <c r="AL16" s="84"/>
      <c r="AM16" s="279" t="e">
        <f>'Composite FY17'!#REF!-'[2]Composite FY15FINAL'!AM16</f>
        <v>#REF!</v>
      </c>
      <c r="AO16" s="279">
        <f>'Composite FY17'!AO16-'[2]Composite FY15FINAL'!AO16</f>
        <v>0</v>
      </c>
      <c r="AP16" s="88"/>
      <c r="AQ16" s="279">
        <f>'Composite FY17'!AQ16-'[2]Composite FY15FINAL'!AQ16</f>
        <v>0</v>
      </c>
      <c r="AR16" s="13"/>
      <c r="AS16" s="279">
        <f>'Composite FY17'!AS16-'[2]Composite FY15FINAL'!AS16</f>
        <v>0</v>
      </c>
      <c r="AU16" s="279">
        <f>'Composite FY17'!AU16-'[2]Composite FY15FINAL'!AU16</f>
        <v>1E-4</v>
      </c>
      <c r="AV16" s="88"/>
      <c r="AW16" s="279">
        <f>'Composite FY17'!AW16-'[2]Composite FY15FINAL'!AW16</f>
        <v>0</v>
      </c>
      <c r="AX16" s="84"/>
      <c r="AY16" s="279">
        <f>'Composite FY17'!AY16-'[2]Composite FY15FINAL'!AY16</f>
        <v>0</v>
      </c>
      <c r="BA16" s="88"/>
      <c r="BB16" s="279">
        <f>'Composite FY17'!BB16-'[2]Composite FY15FINAL'!BB16</f>
        <v>0</v>
      </c>
      <c r="BC16" s="13"/>
      <c r="BD16" s="279">
        <f>'Composite FY17'!BD16-'[2]Composite FY15FINAL'!BD16</f>
        <v>0</v>
      </c>
      <c r="BF16" s="279">
        <f>'Composite FY17'!BF16-'[2]Composite FY15FINAL'!BF16</f>
        <v>0</v>
      </c>
    </row>
    <row r="17" spans="1:58" s="14" customFormat="1" x14ac:dyDescent="0.2">
      <c r="A17" s="19"/>
      <c r="C17" s="2" t="s">
        <v>7</v>
      </c>
      <c r="D17" s="10"/>
      <c r="E17" s="14" t="s">
        <v>6</v>
      </c>
      <c r="G17" s="87">
        <f>SUM(I17:AG17)</f>
        <v>-3.1225022567582528E-16</v>
      </c>
      <c r="H17" s="85"/>
      <c r="I17" s="279">
        <f>'Composite FY17'!I17-'[2]Composite FY15FINAL'!I17</f>
        <v>-9.0000000000034497E-4</v>
      </c>
      <c r="J17" s="85"/>
      <c r="K17" s="279">
        <f>'Composite FY17'!K17-'[2]Composite FY15FINAL'!K17</f>
        <v>8.9999999999999802E-4</v>
      </c>
      <c r="L17" s="85"/>
      <c r="M17" s="279">
        <f>'Composite FY17'!M17-'[2]Composite FY15FINAL'!M17</f>
        <v>-1.1000000000000003E-3</v>
      </c>
      <c r="N17" s="88"/>
      <c r="O17" s="279">
        <f>'Composite FY17'!O17-'[2]Composite FY15FINAL'!O17</f>
        <v>-9.0000000000000496E-4</v>
      </c>
      <c r="P17" s="88"/>
      <c r="Q17" s="279">
        <f>'Composite FY17'!Q17-'[2]Composite FY15FINAL'!Q17</f>
        <v>-6.5999999999999948E-3</v>
      </c>
      <c r="R17" s="88"/>
      <c r="S17" s="279">
        <f>'Composite FY17'!S17-'[2]Composite FY15FINAL'!S17</f>
        <v>-1.0499999999999995E-2</v>
      </c>
      <c r="T17" s="88"/>
      <c r="U17" s="279">
        <f>'Composite FY17'!U17-'[2]Composite FY15FINAL'!U17</f>
        <v>7.0000000000000062E-3</v>
      </c>
      <c r="V17" s="88"/>
      <c r="W17" s="279">
        <f>'Composite FY17'!W17-'[2]Composite FY15FINAL'!W17</f>
        <v>7.3400000000000021E-2</v>
      </c>
      <c r="X17" s="88"/>
      <c r="Y17" s="279">
        <f>'Composite FY17'!Y17-'[2]Composite FY15FINAL'!Y17</f>
        <v>-6.4899999999999999E-2</v>
      </c>
      <c r="AA17" s="279">
        <f>'Composite FY17'!AA17-'[2]Composite FY15FINAL'!AA17</f>
        <v>-8.0000000000000004E-4</v>
      </c>
      <c r="AB17" s="84"/>
      <c r="AC17" s="279">
        <f>'Composite FY17'!AC17-'[2]Composite FY15FINAL'!AC17</f>
        <v>-1E-3</v>
      </c>
      <c r="AD17" s="84"/>
      <c r="AE17" s="279">
        <f>'Composite FY17'!AE17-'[2]Composite FY15FINAL'!AE17</f>
        <v>2.0000000000000009E-4</v>
      </c>
      <c r="AF17" s="88"/>
      <c r="AG17" s="279">
        <f>'Composite FY17'!AG17-'[2]Composite FY15FINAL'!AG17</f>
        <v>5.1999999999999998E-3</v>
      </c>
      <c r="AI17" s="279">
        <f>'Composite FY17'!AI17-'[2]Composite FY15FINAL'!AI17</f>
        <v>0</v>
      </c>
      <c r="AJ17" s="84"/>
      <c r="AK17" s="279">
        <f>'Composite FY17'!AK17-'[2]Composite FY15FINAL'!AK17</f>
        <v>-8.0000000000000004E-4</v>
      </c>
      <c r="AL17" s="84"/>
      <c r="AM17" s="279" t="e">
        <f>'Composite FY17'!#REF!-'[2]Composite FY15FINAL'!AM17</f>
        <v>#REF!</v>
      </c>
      <c r="AO17" s="279">
        <f>'Composite FY17'!AO17-'[2]Composite FY15FINAL'!AO17</f>
        <v>3.8999999999999998E-3</v>
      </c>
      <c r="AP17" s="88"/>
      <c r="AQ17" s="279">
        <f>'Composite FY17'!AQ17-'[2]Composite FY15FINAL'!AQ17</f>
        <v>0</v>
      </c>
      <c r="AR17" s="13"/>
      <c r="AS17" s="279">
        <f>'Composite FY17'!AS17-'[2]Composite FY15FINAL'!AS17</f>
        <v>0</v>
      </c>
      <c r="AU17" s="279">
        <f>'Composite FY17'!AU17-'[2]Composite FY15FINAL'!AU17</f>
        <v>5.0000000000000001E-4</v>
      </c>
      <c r="AV17" s="88"/>
      <c r="AW17" s="279">
        <f>'Composite FY17'!AW17-'[2]Composite FY15FINAL'!AW17</f>
        <v>-1E-4</v>
      </c>
      <c r="AX17" s="84"/>
      <c r="AY17" s="279">
        <f>'Composite FY17'!AY17-'[2]Composite FY15FINAL'!AY17</f>
        <v>0</v>
      </c>
      <c r="BA17" s="88"/>
      <c r="BB17" s="279">
        <f>'Composite FY17'!BB17-'[2]Composite FY15FINAL'!BB17</f>
        <v>0</v>
      </c>
      <c r="BC17" s="13"/>
      <c r="BD17" s="279">
        <f>'Composite FY17'!BD17-'[2]Composite FY15FINAL'!BD17</f>
        <v>1.9E-3</v>
      </c>
      <c r="BF17" s="279">
        <f>'Composite FY17'!BF17-'[2]Composite FY15FINAL'!BF17</f>
        <v>0</v>
      </c>
    </row>
    <row r="18" spans="1:58" s="14" customFormat="1" x14ac:dyDescent="0.2">
      <c r="A18" s="19"/>
      <c r="C18" s="51"/>
      <c r="D18" s="10"/>
      <c r="G18" s="88"/>
      <c r="H18" s="88"/>
      <c r="I18" s="89"/>
      <c r="J18" s="88"/>
      <c r="K18" s="88"/>
      <c r="L18" s="88"/>
      <c r="M18" s="88"/>
      <c r="N18" s="88"/>
      <c r="O18" s="88"/>
      <c r="P18" s="88"/>
      <c r="Q18" s="88"/>
      <c r="R18" s="88"/>
      <c r="S18" s="88"/>
      <c r="T18" s="88"/>
      <c r="U18" s="88"/>
      <c r="V18" s="88"/>
      <c r="W18" s="88"/>
      <c r="X18" s="88"/>
      <c r="Y18" s="88"/>
      <c r="Z18" s="16"/>
      <c r="AA18" s="88"/>
      <c r="AB18" s="88"/>
      <c r="AC18" s="88"/>
      <c r="AD18" s="88"/>
      <c r="AE18" s="88"/>
      <c r="AF18" s="88"/>
      <c r="AG18" s="88"/>
      <c r="AH18" s="16"/>
      <c r="AI18" s="88"/>
      <c r="AJ18" s="88"/>
      <c r="AK18" s="88"/>
      <c r="AL18" s="88"/>
      <c r="AM18" s="88"/>
      <c r="AN18" s="16"/>
      <c r="AO18" s="88"/>
      <c r="AP18" s="88"/>
      <c r="AQ18" s="88"/>
      <c r="AR18" s="15"/>
      <c r="AS18" s="88"/>
      <c r="AT18" s="16"/>
      <c r="AU18" s="88"/>
      <c r="AV18" s="88"/>
      <c r="AW18" s="88"/>
      <c r="AX18" s="88"/>
      <c r="AY18" s="88"/>
      <c r="AZ18" s="16"/>
      <c r="BA18" s="88"/>
      <c r="BB18" s="88"/>
      <c r="BC18" s="15"/>
      <c r="BD18" s="88"/>
      <c r="BE18" s="16"/>
      <c r="BF18" s="88"/>
    </row>
    <row r="19" spans="1:58" s="14" customFormat="1" x14ac:dyDescent="0.2">
      <c r="A19" s="19"/>
      <c r="C19" s="51" t="s">
        <v>321</v>
      </c>
      <c r="D19" s="10"/>
      <c r="E19" s="14" t="s">
        <v>6</v>
      </c>
      <c r="G19" s="84">
        <f>SUM(I19:AG19)</f>
        <v>9.1072982488782372E-18</v>
      </c>
      <c r="H19" s="85"/>
      <c r="I19" s="279">
        <f>'Composite FY17'!I19-'[2]Composite FY15FINAL'!I19</f>
        <v>-8.0000000000002292E-4</v>
      </c>
      <c r="J19" s="85"/>
      <c r="K19" s="279">
        <f>'Composite FY17'!K19-'[2]Composite FY15FINAL'!K19</f>
        <v>-1.1999999999999927E-3</v>
      </c>
      <c r="L19" s="85"/>
      <c r="M19" s="279">
        <f>'Composite FY17'!M19-'[2]Composite FY15FINAL'!M19</f>
        <v>-2.9999999999999818E-4</v>
      </c>
      <c r="N19" s="88"/>
      <c r="O19" s="279">
        <f>'Composite FY17'!O19-'[2]Composite FY15FINAL'!O19</f>
        <v>-1.5999999999999903E-3</v>
      </c>
      <c r="P19" s="88"/>
      <c r="Q19" s="279">
        <f>'Composite FY17'!Q19-'[2]Composite FY15FINAL'!Q19</f>
        <v>-3.600000000000006E-3</v>
      </c>
      <c r="R19" s="88"/>
      <c r="S19" s="279">
        <f>'Composite FY17'!S19-'[2]Composite FY15FINAL'!S19</f>
        <v>-4.9999999999999906E-3</v>
      </c>
      <c r="T19" s="88"/>
      <c r="U19" s="279">
        <f>'Composite FY17'!U19-'[2]Composite FY15FINAL'!U19</f>
        <v>-2.9000000000000137E-3</v>
      </c>
      <c r="V19" s="88"/>
      <c r="W19" s="279">
        <f>'Composite FY17'!W19-'[2]Composite FY15FINAL'!W19</f>
        <v>3.7600000000000022E-2</v>
      </c>
      <c r="X19" s="88"/>
      <c r="Y19" s="279">
        <f>'Composite FY17'!Y19-'[2]Composite FY15FINAL'!Y19</f>
        <v>-2.3099999999999999E-2</v>
      </c>
      <c r="AA19" s="279">
        <f>'Composite FY17'!AA19-'[2]Composite FY15FINAL'!AA19</f>
        <v>-3.0000000000000003E-4</v>
      </c>
      <c r="AB19" s="84"/>
      <c r="AC19" s="279">
        <f>'Composite FY17'!AC19-'[2]Composite FY15FINAL'!AC19</f>
        <v>-5.9999999999999995E-4</v>
      </c>
      <c r="AD19" s="84"/>
      <c r="AE19" s="279">
        <f>'Composite FY17'!AE19-'[2]Composite FY15FINAL'!AE19</f>
        <v>-2.0000000000000009E-4</v>
      </c>
      <c r="AF19" s="88"/>
      <c r="AG19" s="279">
        <f>'Composite FY17'!AG19-'[2]Composite FY15FINAL'!AG19</f>
        <v>2E-3</v>
      </c>
      <c r="AI19" s="279">
        <f>'Composite FY17'!AI19-'[2]Composite FY15FINAL'!AI19</f>
        <v>0</v>
      </c>
      <c r="AJ19" s="84"/>
      <c r="AK19" s="279">
        <f>'Composite FY17'!AK19-'[2]Composite FY15FINAL'!AK19</f>
        <v>-2.9999999999999997E-4</v>
      </c>
      <c r="AL19" s="84"/>
      <c r="AM19" s="279" t="e">
        <f>'Composite FY17'!#REF!-'[2]Composite FY15FINAL'!AM19</f>
        <v>#REF!</v>
      </c>
      <c r="AO19" s="279">
        <f>'Composite FY17'!AO19-'[2]Composite FY15FINAL'!AO19</f>
        <v>1.0999999999999998E-3</v>
      </c>
      <c r="AP19" s="88"/>
      <c r="AQ19" s="279">
        <f>'Composite FY17'!AQ19-'[2]Composite FY15FINAL'!AQ19</f>
        <v>0</v>
      </c>
      <c r="AR19" s="13"/>
      <c r="AS19" s="279">
        <f>'Composite FY17'!AS19-'[2]Composite FY15FINAL'!AS19</f>
        <v>0</v>
      </c>
      <c r="AU19" s="279">
        <f>'Composite FY17'!AU19-'[2]Composite FY15FINAL'!AU19</f>
        <v>4.0000000000000002E-4</v>
      </c>
      <c r="AV19" s="88"/>
      <c r="AW19" s="279">
        <f>'Composite FY17'!AW19-'[2]Composite FY15FINAL'!AW19</f>
        <v>0</v>
      </c>
      <c r="AX19" s="84"/>
      <c r="AY19" s="279">
        <f>'Composite FY17'!AY19-'[2]Composite FY15FINAL'!AY19</f>
        <v>0</v>
      </c>
      <c r="BA19" s="88"/>
      <c r="BB19" s="279">
        <f>'Composite FY17'!BB19-'[2]Composite FY15FINAL'!BB19</f>
        <v>0</v>
      </c>
      <c r="BC19" s="13"/>
      <c r="BD19" s="279">
        <f>'Composite FY17'!BD19-'[2]Composite FY15FINAL'!BD19</f>
        <v>5.9999999999999995E-4</v>
      </c>
      <c r="BF19" s="279">
        <f>'Composite FY17'!BF19-'[2]Composite FY15FINAL'!BF19</f>
        <v>0</v>
      </c>
    </row>
    <row r="20" spans="1:58" s="14" customFormat="1" x14ac:dyDescent="0.2">
      <c r="A20" s="19"/>
      <c r="C20" s="51"/>
      <c r="D20" s="10"/>
      <c r="G20" s="88"/>
      <c r="H20" s="85"/>
      <c r="I20" s="89"/>
      <c r="J20" s="85"/>
      <c r="K20" s="88"/>
      <c r="L20" s="88"/>
      <c r="M20" s="88"/>
      <c r="N20" s="88"/>
      <c r="O20" s="88"/>
      <c r="P20" s="88"/>
      <c r="Q20" s="88"/>
      <c r="R20" s="88"/>
      <c r="S20" s="88"/>
      <c r="T20" s="88"/>
      <c r="U20" s="88"/>
      <c r="V20" s="88"/>
      <c r="W20" s="88"/>
      <c r="X20" s="88"/>
      <c r="Y20" s="88"/>
      <c r="Z20" s="88"/>
      <c r="AA20" s="88"/>
      <c r="AB20" s="88"/>
      <c r="AC20" s="88"/>
      <c r="AD20" s="88"/>
      <c r="AG20" s="88"/>
      <c r="AH20" s="88"/>
      <c r="AI20" s="88"/>
      <c r="AJ20" s="88"/>
      <c r="AK20" s="88"/>
      <c r="AL20" s="88"/>
      <c r="AM20" s="16"/>
    </row>
    <row r="21" spans="1:58" s="14" customFormat="1" x14ac:dyDescent="0.2">
      <c r="A21" s="19"/>
      <c r="C21" s="51"/>
      <c r="D21" s="10"/>
      <c r="G21" s="52"/>
      <c r="H21" s="15"/>
      <c r="I21" s="53"/>
      <c r="J21" s="15"/>
      <c r="K21" s="15"/>
      <c r="L21" s="15"/>
      <c r="M21" s="15"/>
      <c r="N21" s="15"/>
      <c r="O21" s="15"/>
      <c r="P21" s="15"/>
      <c r="Q21" s="15"/>
      <c r="R21" s="15"/>
      <c r="T21" s="15"/>
      <c r="V21" s="16"/>
      <c r="W21" s="16"/>
      <c r="X21" s="15"/>
      <c r="Y21" s="15"/>
      <c r="Z21" s="16"/>
      <c r="AA21" s="15"/>
      <c r="AB21" s="15"/>
      <c r="AC21" s="15"/>
      <c r="AD21" s="15"/>
      <c r="AG21" s="16"/>
      <c r="AH21" s="16"/>
      <c r="AI21" s="15"/>
      <c r="AJ21" s="15"/>
      <c r="AK21" s="15"/>
      <c r="AL21" s="15"/>
    </row>
    <row r="22" spans="1:58" s="14" customFormat="1" ht="15.75" x14ac:dyDescent="0.25">
      <c r="A22" s="19"/>
      <c r="C22" s="51"/>
      <c r="D22" s="10"/>
      <c r="G22" s="52"/>
      <c r="H22" s="15"/>
      <c r="I22" s="218" t="s">
        <v>127</v>
      </c>
      <c r="J22" s="219"/>
      <c r="K22" s="219" t="s">
        <v>128</v>
      </c>
      <c r="L22" s="219"/>
      <c r="M22" s="219" t="s">
        <v>129</v>
      </c>
      <c r="N22" s="220"/>
      <c r="O22" s="219" t="s">
        <v>129</v>
      </c>
      <c r="P22" s="220"/>
      <c r="Q22" s="219" t="s">
        <v>130</v>
      </c>
      <c r="R22" s="220"/>
      <c r="S22" s="219" t="s">
        <v>131</v>
      </c>
      <c r="T22" s="220"/>
      <c r="U22" s="219" t="s">
        <v>132</v>
      </c>
      <c r="V22" s="220"/>
      <c r="W22" s="219" t="s">
        <v>133</v>
      </c>
      <c r="X22" s="220"/>
      <c r="Y22" s="219" t="s">
        <v>134</v>
      </c>
      <c r="Z22" s="219"/>
      <c r="AA22" s="219" t="s">
        <v>196</v>
      </c>
      <c r="AB22" s="219"/>
      <c r="AC22" s="219" t="s">
        <v>135</v>
      </c>
      <c r="AD22" s="219"/>
      <c r="AE22" s="219" t="s">
        <v>136</v>
      </c>
      <c r="AF22" s="219"/>
      <c r="AG22" s="219" t="s">
        <v>137</v>
      </c>
      <c r="AH22" s="16"/>
      <c r="AI22" s="15"/>
      <c r="AJ22" s="15"/>
      <c r="AK22" s="15"/>
      <c r="AL22" s="15"/>
    </row>
    <row r="23" spans="1:58" s="14" customFormat="1" x14ac:dyDescent="0.2">
      <c r="A23" s="19"/>
      <c r="C23" s="96" t="s">
        <v>78</v>
      </c>
      <c r="D23" s="10"/>
      <c r="G23" s="15"/>
      <c r="H23" s="15"/>
      <c r="V23" s="16"/>
      <c r="W23" s="16"/>
      <c r="X23" s="15"/>
      <c r="Y23" s="15"/>
      <c r="Z23" s="16"/>
      <c r="AA23" s="15"/>
      <c r="AB23" s="15"/>
      <c r="AC23" s="15"/>
      <c r="AD23" s="15"/>
      <c r="AG23" s="16"/>
      <c r="AH23" s="16"/>
      <c r="AI23" s="15"/>
      <c r="AJ23" s="15"/>
      <c r="AK23" s="15"/>
      <c r="AL23" s="15"/>
    </row>
    <row r="24" spans="1:58" s="17" customFormat="1" x14ac:dyDescent="0.2">
      <c r="A24" s="54"/>
      <c r="I24" s="55"/>
      <c r="M24" s="92"/>
      <c r="N24" s="90"/>
      <c r="P24" s="90"/>
      <c r="R24" s="90"/>
      <c r="T24" s="90"/>
      <c r="V24" s="90"/>
      <c r="X24" s="90"/>
      <c r="Z24" s="36"/>
      <c r="AA24" s="36"/>
      <c r="AB24" s="36"/>
      <c r="AG24" s="36"/>
      <c r="AH24" s="36"/>
    </row>
    <row r="25" spans="1:58" s="17" customFormat="1" x14ac:dyDescent="0.2">
      <c r="A25" s="54"/>
      <c r="C25" s="2" t="s">
        <v>2</v>
      </c>
      <c r="D25" s="10"/>
      <c r="E25" s="3" t="s">
        <v>3</v>
      </c>
      <c r="G25" s="82">
        <f>SUM(I25:AG25)</f>
        <v>7211984470.6999998</v>
      </c>
      <c r="I25" s="110">
        <f>I10</f>
        <v>652745151.35000002</v>
      </c>
      <c r="J25" s="8"/>
      <c r="K25" s="110">
        <f>K10</f>
        <v>556770002.48000002</v>
      </c>
      <c r="L25" s="8"/>
      <c r="M25" s="110">
        <f>M10</f>
        <v>220793722.37</v>
      </c>
      <c r="N25" s="46"/>
      <c r="O25" s="110">
        <f>O10</f>
        <v>568893959.82000005</v>
      </c>
      <c r="P25" s="46"/>
      <c r="Q25" s="110">
        <f>Q10</f>
        <v>1017265170.3699999</v>
      </c>
      <c r="R25" s="46"/>
      <c r="S25" s="110">
        <f>S10</f>
        <v>531795842.83000004</v>
      </c>
      <c r="T25" s="46"/>
      <c r="U25" s="110">
        <f>U10</f>
        <v>3663720621.48</v>
      </c>
      <c r="V25" s="1"/>
      <c r="W25" s="1"/>
      <c r="X25" s="90"/>
      <c r="Z25" s="36"/>
      <c r="AA25" s="36"/>
      <c r="AB25" s="36"/>
      <c r="AG25" s="36"/>
      <c r="AH25" s="36"/>
    </row>
    <row r="26" spans="1:58" s="17" customFormat="1" x14ac:dyDescent="0.2">
      <c r="A26" s="54"/>
      <c r="C26" s="3" t="s">
        <v>4</v>
      </c>
      <c r="D26" s="10"/>
      <c r="E26" s="3" t="s">
        <v>5</v>
      </c>
      <c r="G26" s="83">
        <f>SUM(I26:AG26)</f>
        <v>3090789.333333333</v>
      </c>
      <c r="I26" s="111">
        <f>I11</f>
        <v>299655.58333333331</v>
      </c>
      <c r="J26" s="8"/>
      <c r="K26" s="110">
        <f>K11</f>
        <v>249509.25</v>
      </c>
      <c r="L26" s="8"/>
      <c r="M26" s="110">
        <f>M11</f>
        <v>74383.416666666672</v>
      </c>
      <c r="N26" s="46"/>
      <c r="O26" s="110">
        <f>O11</f>
        <v>273973.91666666669</v>
      </c>
      <c r="P26" s="46"/>
      <c r="Q26" s="110">
        <f>Q11</f>
        <v>337869.5</v>
      </c>
      <c r="R26" s="46"/>
      <c r="S26" s="110">
        <f>S11</f>
        <v>247834.75</v>
      </c>
      <c r="T26" s="46"/>
      <c r="U26" s="110">
        <f>U11</f>
        <v>1607562.9166666667</v>
      </c>
      <c r="V26" s="1"/>
      <c r="W26" s="1"/>
      <c r="X26" s="90"/>
      <c r="Z26" s="36"/>
      <c r="AA26" s="36"/>
      <c r="AB26" s="36"/>
      <c r="AG26" s="36"/>
      <c r="AH26" s="36"/>
    </row>
    <row r="27" spans="1:58" s="17" customFormat="1" x14ac:dyDescent="0.2">
      <c r="A27" s="54"/>
      <c r="C27" s="2" t="s">
        <v>15</v>
      </c>
      <c r="D27" s="10"/>
      <c r="E27" s="3" t="s">
        <v>3</v>
      </c>
      <c r="G27" s="82">
        <f>SUM(I27:AG27)</f>
        <v>265775826.39999998</v>
      </c>
      <c r="I27" s="111">
        <f>I12</f>
        <v>29874554.219999999</v>
      </c>
      <c r="J27" s="8"/>
      <c r="K27" s="110">
        <f>K12</f>
        <v>26093066.919999998</v>
      </c>
      <c r="L27" s="8"/>
      <c r="M27" s="111">
        <f>M12</f>
        <v>8919945</v>
      </c>
      <c r="N27" s="46"/>
      <c r="O27" s="111">
        <f>O12</f>
        <v>24124493.559999999</v>
      </c>
      <c r="P27" s="46"/>
      <c r="Q27" s="110">
        <f>Q12</f>
        <v>36066524.019999996</v>
      </c>
      <c r="R27" s="46"/>
      <c r="S27" s="110">
        <f>S12</f>
        <v>28949598.719999999</v>
      </c>
      <c r="T27" s="46"/>
      <c r="U27" s="110">
        <f>U12</f>
        <v>111747643.95999999</v>
      </c>
      <c r="V27" s="1"/>
      <c r="W27" s="1"/>
      <c r="X27" s="90"/>
      <c r="Z27" s="36"/>
      <c r="AA27" s="36"/>
      <c r="AB27" s="36"/>
      <c r="AG27" s="36"/>
      <c r="AH27" s="36"/>
    </row>
    <row r="28" spans="1:58" s="17" customFormat="1" x14ac:dyDescent="0.2">
      <c r="A28" s="54"/>
      <c r="C28" s="47" t="s">
        <v>16</v>
      </c>
      <c r="D28" s="10"/>
      <c r="E28" s="3"/>
      <c r="I28" s="1"/>
      <c r="J28" s="4"/>
      <c r="K28" s="1"/>
      <c r="L28" s="4"/>
      <c r="M28" s="1"/>
      <c r="N28" s="1"/>
      <c r="O28" s="1"/>
      <c r="P28" s="1"/>
      <c r="Q28" s="1"/>
      <c r="R28" s="1"/>
      <c r="S28" s="1"/>
      <c r="T28" s="1"/>
      <c r="U28" s="1"/>
      <c r="V28" s="1"/>
      <c r="W28" s="1"/>
      <c r="X28" s="90"/>
      <c r="Z28" s="36"/>
      <c r="AA28" s="36"/>
      <c r="AB28" s="36"/>
      <c r="AG28" s="36"/>
      <c r="AH28" s="36"/>
    </row>
    <row r="29" spans="1:58" s="17" customFormat="1" x14ac:dyDescent="0.2">
      <c r="A29" s="54"/>
      <c r="I29" s="55"/>
      <c r="M29" s="92"/>
      <c r="N29" s="90"/>
      <c r="P29" s="90"/>
      <c r="R29" s="90"/>
      <c r="T29" s="90"/>
      <c r="V29" s="90"/>
      <c r="W29" s="90"/>
      <c r="X29" s="90"/>
      <c r="Z29" s="36"/>
      <c r="AA29" s="36"/>
      <c r="AB29" s="36"/>
      <c r="AG29" s="36"/>
      <c r="AH29" s="36"/>
    </row>
    <row r="30" spans="1:58" s="17" customFormat="1" x14ac:dyDescent="0.2">
      <c r="A30" s="54"/>
      <c r="C30" s="2" t="s">
        <v>2</v>
      </c>
      <c r="D30" s="10"/>
      <c r="E30" s="14" t="s">
        <v>6</v>
      </c>
      <c r="F30" s="95"/>
      <c r="G30" s="99">
        <f>SUM(I30:AG30)</f>
        <v>-4.163336342344337E-17</v>
      </c>
      <c r="I30" s="279">
        <f>'Composite FY17'!I35-'[2]Composite FY15FINAL'!I30</f>
        <v>2.9999999999998916E-3</v>
      </c>
      <c r="J30" s="85"/>
      <c r="K30" s="279">
        <f>'Composite FY17'!K35-'[2]Composite FY15FINAL'!K30</f>
        <v>-4.0999999999999925E-3</v>
      </c>
      <c r="L30" s="85"/>
      <c r="M30" s="279">
        <f>'Composite FY17'!M35-'[2]Composite FY15FINAL'!M30</f>
        <v>2.1000000000000046E-3</v>
      </c>
      <c r="N30" s="88"/>
      <c r="O30" s="279">
        <f>'Composite FY17'!O35-'[2]Composite FY15FINAL'!O30</f>
        <v>-8.9999999999999802E-4</v>
      </c>
      <c r="P30" s="88"/>
      <c r="Q30" s="279">
        <f>'Composite FY17'!Q35-'[2]Composite FY15FINAL'!Q30</f>
        <v>0</v>
      </c>
      <c r="R30" s="88"/>
      <c r="S30" s="279">
        <f>'Composite FY17'!S35-'[2]Composite FY15FINAL'!S30</f>
        <v>-6.999999999999923E-4</v>
      </c>
      <c r="T30" s="88"/>
      <c r="U30" s="279">
        <f>'Composite FY17'!U35-'[2]Composite FY15FINAL'!U30</f>
        <v>6.0000000000004494E-4</v>
      </c>
      <c r="V30" s="101"/>
      <c r="W30" s="101"/>
      <c r="X30" s="90"/>
      <c r="Y30" s="102"/>
      <c r="Z30" s="103"/>
      <c r="AA30" s="103"/>
      <c r="AB30" s="103"/>
      <c r="AG30" s="103"/>
      <c r="AH30" s="103"/>
      <c r="AI30" s="102"/>
      <c r="AJ30" s="102"/>
      <c r="AK30" s="102"/>
      <c r="AL30" s="102"/>
    </row>
    <row r="31" spans="1:58" s="17" customFormat="1" x14ac:dyDescent="0.2">
      <c r="A31" s="54"/>
      <c r="C31" s="3" t="s">
        <v>4</v>
      </c>
      <c r="D31" s="10"/>
      <c r="E31" s="14" t="s">
        <v>6</v>
      </c>
      <c r="F31" s="95"/>
      <c r="G31" s="99">
        <f>SUM(I31:AG31)</f>
        <v>-4.8572257327350599E-17</v>
      </c>
      <c r="I31" s="279">
        <f>'Composite FY17'!I36-'[2]Composite FY15FINAL'!I31</f>
        <v>-9.000000000000119E-4</v>
      </c>
      <c r="J31" s="85"/>
      <c r="K31" s="279">
        <f>'Composite FY17'!K36-'[2]Composite FY15FINAL'!K31</f>
        <v>1.2999999999999956E-3</v>
      </c>
      <c r="L31" s="85"/>
      <c r="M31" s="279">
        <f>'Composite FY17'!M36-'[2]Composite FY15FINAL'!M31</f>
        <v>-3.0000000000000165E-4</v>
      </c>
      <c r="N31" s="88"/>
      <c r="O31" s="279">
        <f>'Composite FY17'!O36-'[2]Composite FY15FINAL'!O31</f>
        <v>-3.9999999999999758E-4</v>
      </c>
      <c r="P31" s="88"/>
      <c r="Q31" s="279">
        <f>'Composite FY17'!Q36-'[2]Composite FY15FINAL'!Q31</f>
        <v>5.9999999999998943E-4</v>
      </c>
      <c r="R31" s="88"/>
      <c r="S31" s="279">
        <f>'Composite FY17'!S36-'[2]Composite FY15FINAL'!S31</f>
        <v>-1.5000000000000013E-3</v>
      </c>
      <c r="T31" s="88"/>
      <c r="U31" s="279">
        <f>'Composite FY17'!U36-'[2]Composite FY15FINAL'!U31</f>
        <v>1.1999999999999789E-3</v>
      </c>
      <c r="V31" s="101"/>
      <c r="W31" s="101"/>
      <c r="X31" s="90"/>
      <c r="Z31" s="36"/>
      <c r="AA31" s="36"/>
      <c r="AB31" s="36"/>
      <c r="AG31" s="36"/>
      <c r="AH31" s="36"/>
    </row>
    <row r="32" spans="1:58" s="17" customFormat="1" x14ac:dyDescent="0.2">
      <c r="A32" s="54"/>
      <c r="C32" s="2" t="s">
        <v>7</v>
      </c>
      <c r="D32" s="10"/>
      <c r="E32" s="14" t="s">
        <v>6</v>
      </c>
      <c r="F32" s="95"/>
      <c r="G32" s="99">
        <f>SUM(I32:AG32)</f>
        <v>-4.163336342344337E-17</v>
      </c>
      <c r="I32" s="279">
        <f>'Composite FY17'!I37-'[2]Composite FY15FINAL'!I32</f>
        <v>6.9999999999992291E-4</v>
      </c>
      <c r="J32" s="85"/>
      <c r="K32" s="279">
        <f>'Composite FY17'!K37-'[2]Composite FY15FINAL'!K32</f>
        <v>2.8999999999999998E-3</v>
      </c>
      <c r="L32" s="85"/>
      <c r="M32" s="279">
        <f>'Composite FY17'!M37-'[2]Composite FY15FINAL'!M32</f>
        <v>-1.0000000000000009E-3</v>
      </c>
      <c r="N32" s="88"/>
      <c r="O32" s="279">
        <f>'Composite FY17'!O37-'[2]Composite FY15FINAL'!O32</f>
        <v>1.0000000000000286E-4</v>
      </c>
      <c r="P32" s="88"/>
      <c r="Q32" s="279">
        <f>'Composite FY17'!Q37-'[2]Composite FY15FINAL'!Q32</f>
        <v>-6.8999999999999895E-3</v>
      </c>
      <c r="R32" s="88"/>
      <c r="S32" s="279">
        <f>'Composite FY17'!S37-'[2]Composite FY15FINAL'!S32</f>
        <v>-1.2700000000000003E-2</v>
      </c>
      <c r="T32" s="88"/>
      <c r="U32" s="279">
        <f>'Composite FY17'!U37-'[2]Composite FY15FINAL'!U32</f>
        <v>1.6900000000000026E-2</v>
      </c>
      <c r="V32" s="101"/>
      <c r="W32" s="101"/>
      <c r="X32" s="90"/>
      <c r="Z32" s="36"/>
      <c r="AA32" s="36"/>
      <c r="AB32" s="36"/>
      <c r="AG32" s="36"/>
      <c r="AH32" s="36"/>
    </row>
    <row r="33" spans="1:34" s="17" customFormat="1" x14ac:dyDescent="0.2">
      <c r="A33" s="54"/>
      <c r="C33" s="51"/>
      <c r="D33" s="10"/>
      <c r="E33" s="14"/>
      <c r="G33" s="91"/>
      <c r="I33" s="100"/>
      <c r="J33" s="100"/>
      <c r="K33" s="100"/>
      <c r="L33" s="100"/>
      <c r="M33" s="100"/>
      <c r="N33" s="101"/>
      <c r="O33" s="100"/>
      <c r="P33" s="101"/>
      <c r="Q33" s="100"/>
      <c r="R33" s="101"/>
      <c r="S33" s="100"/>
      <c r="T33" s="101"/>
      <c r="U33" s="100"/>
      <c r="V33" s="101"/>
      <c r="W33" s="101"/>
      <c r="X33" s="90"/>
      <c r="Z33" s="36"/>
      <c r="AA33" s="36"/>
      <c r="AB33" s="36"/>
      <c r="AG33" s="36"/>
      <c r="AH33" s="36"/>
    </row>
    <row r="34" spans="1:34" s="17" customFormat="1" x14ac:dyDescent="0.2">
      <c r="A34" s="54"/>
      <c r="C34" s="51" t="str">
        <f>C19</f>
        <v>Total Composite Factor for FY 2014</v>
      </c>
      <c r="D34" s="10"/>
      <c r="E34" s="14" t="s">
        <v>6</v>
      </c>
      <c r="G34" s="99">
        <f>SUM(I34:AG34)</f>
        <v>9.3675067702747583E-17</v>
      </c>
      <c r="I34" s="279">
        <f>'Composite FY17'!I39-'[2]Composite FY15FINAL'!I34</f>
        <v>1.1000000000001009E-3</v>
      </c>
      <c r="J34" s="85"/>
      <c r="K34" s="279">
        <f>'Composite FY17'!K39-'[2]Composite FY15FINAL'!K34</f>
        <v>0</v>
      </c>
      <c r="L34" s="85"/>
      <c r="M34" s="279">
        <f>'Composite FY17'!M39-'[2]Composite FY15FINAL'!M34</f>
        <v>2.0000000000000226E-4</v>
      </c>
      <c r="N34" s="88"/>
      <c r="O34" s="279">
        <f>'Composite FY17'!O39-'[2]Composite FY15FINAL'!O34</f>
        <v>-3.9999999999999758E-4</v>
      </c>
      <c r="P34" s="88"/>
      <c r="Q34" s="279">
        <f>'Composite FY17'!Q39-'[2]Composite FY15FINAL'!Q34</f>
        <v>-2.0999999999999908E-3</v>
      </c>
      <c r="R34" s="88"/>
      <c r="S34" s="279">
        <f>'Composite FY17'!S39-'[2]Composite FY15FINAL'!S34</f>
        <v>-5.0000000000000044E-3</v>
      </c>
      <c r="T34" s="88"/>
      <c r="U34" s="279">
        <f>'Composite FY17'!U39-'[2]Composite FY15FINAL'!U34</f>
        <v>6.1999999999999833E-3</v>
      </c>
      <c r="V34" s="108"/>
      <c r="W34" s="101"/>
      <c r="X34" s="90"/>
      <c r="Z34" s="36"/>
      <c r="AA34" s="36"/>
      <c r="AB34" s="36"/>
      <c r="AG34" s="36"/>
      <c r="AH34" s="36"/>
    </row>
    <row r="35" spans="1:34" s="17" customFormat="1" x14ac:dyDescent="0.2">
      <c r="A35" s="54"/>
      <c r="C35" s="51"/>
      <c r="D35" s="10"/>
      <c r="E35" s="14"/>
      <c r="G35" s="101"/>
      <c r="I35" s="101"/>
      <c r="J35" s="100"/>
      <c r="K35" s="101"/>
      <c r="L35" s="100"/>
      <c r="M35" s="101"/>
      <c r="N35" s="101"/>
      <c r="O35" s="101"/>
      <c r="P35" s="101"/>
      <c r="Q35" s="101"/>
      <c r="R35" s="101"/>
      <c r="S35" s="101"/>
      <c r="T35" s="101"/>
      <c r="U35" s="101"/>
      <c r="V35" s="108"/>
      <c r="W35" s="101"/>
      <c r="X35" s="90"/>
      <c r="Z35" s="36"/>
      <c r="AA35" s="36"/>
      <c r="AB35" s="36"/>
      <c r="AG35" s="36"/>
      <c r="AH35" s="36"/>
    </row>
    <row r="36" spans="1:34" ht="15.75" x14ac:dyDescent="0.25">
      <c r="G36" s="151"/>
      <c r="I36" s="243" t="s">
        <v>188</v>
      </c>
      <c r="J36" s="227"/>
      <c r="K36" s="227" t="s">
        <v>189</v>
      </c>
      <c r="L36" s="227"/>
      <c r="M36" s="227" t="s">
        <v>190</v>
      </c>
      <c r="N36" s="226"/>
      <c r="O36" s="244" t="s">
        <v>190</v>
      </c>
      <c r="P36" s="226"/>
      <c r="Q36" s="227" t="s">
        <v>191</v>
      </c>
      <c r="R36" s="226"/>
      <c r="S36" s="227" t="s">
        <v>192</v>
      </c>
      <c r="T36" s="226"/>
      <c r="U36" s="227" t="s">
        <v>193</v>
      </c>
    </row>
    <row r="37" spans="1:34" ht="15.75" x14ac:dyDescent="0.25">
      <c r="I37" s="242" t="s">
        <v>138</v>
      </c>
      <c r="J37" s="229"/>
      <c r="K37" s="229" t="s">
        <v>139</v>
      </c>
      <c r="L37" s="229"/>
      <c r="M37" s="229" t="s">
        <v>140</v>
      </c>
      <c r="N37" s="229"/>
      <c r="O37" s="229" t="s">
        <v>140</v>
      </c>
      <c r="P37" s="229"/>
      <c r="Q37" s="229" t="s">
        <v>141</v>
      </c>
      <c r="R37" s="229"/>
      <c r="S37" s="230" t="s">
        <v>142</v>
      </c>
      <c r="T37" s="229"/>
      <c r="U37" s="230" t="s">
        <v>143</v>
      </c>
    </row>
    <row r="38" spans="1:34" x14ac:dyDescent="0.2">
      <c r="O38" s="91"/>
    </row>
    <row r="39" spans="1:34" x14ac:dyDescent="0.2">
      <c r="C39" s="96" t="s">
        <v>80</v>
      </c>
      <c r="D39" s="10"/>
      <c r="E39" s="14"/>
      <c r="F39" s="14"/>
      <c r="G39" s="15"/>
      <c r="H39" s="15"/>
      <c r="I39" s="5"/>
      <c r="N39" s="5"/>
      <c r="P39" s="5"/>
      <c r="R39" s="5"/>
      <c r="T39" s="5"/>
      <c r="V39" s="5"/>
    </row>
    <row r="40" spans="1:34" x14ac:dyDescent="0.2">
      <c r="C40" s="17"/>
      <c r="D40" s="17"/>
      <c r="E40" s="17"/>
      <c r="F40" s="17"/>
      <c r="G40" s="17"/>
      <c r="H40" s="17"/>
      <c r="I40" s="55"/>
      <c r="J40" s="17"/>
      <c r="K40" s="17"/>
      <c r="L40" s="17"/>
      <c r="M40" s="92"/>
      <c r="N40" s="90"/>
      <c r="O40" s="17"/>
      <c r="P40" s="90"/>
      <c r="Q40" s="17"/>
      <c r="R40" s="90"/>
      <c r="S40" s="17"/>
      <c r="T40" s="90"/>
      <c r="U40" s="17"/>
    </row>
    <row r="41" spans="1:34" x14ac:dyDescent="0.2">
      <c r="C41" s="2" t="s">
        <v>2</v>
      </c>
      <c r="D41" s="10"/>
      <c r="E41" s="3" t="s">
        <v>3</v>
      </c>
      <c r="F41" s="17"/>
      <c r="G41" s="82">
        <f>SUM(I41:AG41)</f>
        <v>9192780199.3500004</v>
      </c>
      <c r="H41" s="17"/>
      <c r="I41" s="110">
        <f>I10</f>
        <v>652745151.35000002</v>
      </c>
      <c r="J41" s="8"/>
      <c r="K41" s="110">
        <f>K10</f>
        <v>556770002.48000002</v>
      </c>
      <c r="L41" s="8"/>
      <c r="M41" s="110">
        <f>M10</f>
        <v>220793722.37</v>
      </c>
      <c r="N41" s="46"/>
      <c r="O41" s="110">
        <f>O10</f>
        <v>568893959.82000005</v>
      </c>
      <c r="P41" s="46"/>
      <c r="Q41" s="110">
        <f>Q10</f>
        <v>1017265170.3699999</v>
      </c>
      <c r="R41" s="46"/>
      <c r="S41" s="110">
        <f>S10</f>
        <v>531795842.83000004</v>
      </c>
      <c r="T41" s="46"/>
      <c r="U41" s="110">
        <f>U10</f>
        <v>3663720621.48</v>
      </c>
      <c r="W41" s="110">
        <f>W10</f>
        <v>1980795728.6500001</v>
      </c>
    </row>
    <row r="42" spans="1:34" x14ac:dyDescent="0.2">
      <c r="C42" s="3" t="s">
        <v>4</v>
      </c>
      <c r="D42" s="10"/>
      <c r="E42" s="3" t="s">
        <v>5</v>
      </c>
      <c r="F42" s="17"/>
      <c r="G42" s="83">
        <f>SUM(I42:AG42)</f>
        <v>3091105.083333333</v>
      </c>
      <c r="H42" s="17"/>
      <c r="I42" s="110">
        <f>I11</f>
        <v>299655.58333333331</v>
      </c>
      <c r="J42" s="8"/>
      <c r="K42" s="110">
        <f>K11</f>
        <v>249509.25</v>
      </c>
      <c r="L42" s="8"/>
      <c r="M42" s="110">
        <f>M11</f>
        <v>74383.416666666672</v>
      </c>
      <c r="N42" s="46"/>
      <c r="O42" s="110">
        <f>O11</f>
        <v>273973.91666666669</v>
      </c>
      <c r="P42" s="46"/>
      <c r="Q42" s="110">
        <f>Q11</f>
        <v>337869.5</v>
      </c>
      <c r="R42" s="46"/>
      <c r="S42" s="110">
        <f>S11</f>
        <v>247834.75</v>
      </c>
      <c r="T42" s="46"/>
      <c r="U42" s="110">
        <f>U11</f>
        <v>1607562.9166666667</v>
      </c>
      <c r="W42" s="110">
        <f>W11</f>
        <v>315.75</v>
      </c>
    </row>
    <row r="43" spans="1:34" x14ac:dyDescent="0.2">
      <c r="C43" s="2" t="s">
        <v>15</v>
      </c>
      <c r="D43" s="10"/>
      <c r="E43" s="3" t="s">
        <v>3</v>
      </c>
      <c r="F43" s="17"/>
      <c r="G43" s="82">
        <f>SUM(I43:AG43)</f>
        <v>372472937.40999997</v>
      </c>
      <c r="H43" s="17"/>
      <c r="I43" s="110">
        <f>I12</f>
        <v>29874554.219999999</v>
      </c>
      <c r="J43" s="8"/>
      <c r="K43" s="110">
        <f>K12</f>
        <v>26093066.919999998</v>
      </c>
      <c r="L43" s="8"/>
      <c r="M43" s="110">
        <f>M12</f>
        <v>8919945</v>
      </c>
      <c r="N43" s="46"/>
      <c r="O43" s="110">
        <f>O12</f>
        <v>24124493.559999999</v>
      </c>
      <c r="P43" s="46"/>
      <c r="Q43" s="110">
        <f>Q12</f>
        <v>36066524.019999996</v>
      </c>
      <c r="R43" s="46"/>
      <c r="S43" s="110">
        <f>S12</f>
        <v>28949598.719999999</v>
      </c>
      <c r="T43" s="46"/>
      <c r="U43" s="110">
        <f>U12</f>
        <v>111747643.95999999</v>
      </c>
      <c r="W43" s="110">
        <f>W12</f>
        <v>106697111.01000001</v>
      </c>
    </row>
    <row r="44" spans="1:34" x14ac:dyDescent="0.2">
      <c r="C44" s="47" t="s">
        <v>16</v>
      </c>
      <c r="D44" s="10"/>
      <c r="E44" s="3"/>
      <c r="F44" s="17"/>
      <c r="G44" s="17"/>
      <c r="H44" s="17"/>
      <c r="I44" s="1"/>
      <c r="J44" s="4"/>
      <c r="K44" s="1"/>
      <c r="L44" s="4"/>
      <c r="M44" s="1"/>
      <c r="N44" s="1"/>
      <c r="O44" s="1"/>
      <c r="P44" s="1"/>
      <c r="Q44" s="1"/>
      <c r="R44" s="1"/>
      <c r="S44" s="1"/>
      <c r="T44" s="1"/>
      <c r="U44" s="1"/>
      <c r="W44" s="18"/>
    </row>
    <row r="45" spans="1:34" x14ac:dyDescent="0.2">
      <c r="C45" s="17"/>
      <c r="D45" s="17"/>
      <c r="E45" s="17"/>
      <c r="F45" s="17"/>
      <c r="G45" s="17"/>
      <c r="H45" s="17"/>
      <c r="I45" s="55"/>
      <c r="J45" s="17"/>
      <c r="K45" s="17"/>
      <c r="L45" s="17"/>
      <c r="M45" s="92"/>
      <c r="N45" s="90"/>
      <c r="O45" s="17"/>
      <c r="P45" s="90"/>
      <c r="Q45" s="17"/>
      <c r="R45" s="90"/>
      <c r="S45" s="17"/>
      <c r="T45" s="90"/>
      <c r="U45" s="17"/>
    </row>
    <row r="46" spans="1:34" x14ac:dyDescent="0.2">
      <c r="C46" s="2" t="s">
        <v>2</v>
      </c>
      <c r="D46" s="10"/>
      <c r="E46" s="14" t="s">
        <v>6</v>
      </c>
      <c r="F46" s="95"/>
      <c r="G46" s="99">
        <f>SUM(I46:AG46)</f>
        <v>1.2490009027033011E-16</v>
      </c>
      <c r="H46" s="17"/>
      <c r="I46" s="279">
        <f>'Composite FY17'!I53-'[2]Composite FY15FINAL'!I46</f>
        <v>-1.1999999999998678E-3</v>
      </c>
      <c r="J46" s="85"/>
      <c r="K46" s="279">
        <f>'Composite FY17'!K53-'[2]Composite FY15FINAL'!K46</f>
        <v>-6.1000000000000013E-3</v>
      </c>
      <c r="L46" s="85"/>
      <c r="M46" s="279">
        <f>'Composite FY17'!M53-'[2]Composite FY15FINAL'!M46</f>
        <v>5.0000000000000044E-4</v>
      </c>
      <c r="N46" s="88"/>
      <c r="O46" s="279">
        <f>'Composite FY17'!O53-'[2]Composite FY15FINAL'!O46</f>
        <v>-3.8000000000000048E-3</v>
      </c>
      <c r="P46" s="88"/>
      <c r="Q46" s="279">
        <f>'Composite FY17'!Q53-'[2]Composite FY15FINAL'!Q46</f>
        <v>-5.499999999999991E-3</v>
      </c>
      <c r="R46" s="88"/>
      <c r="S46" s="279">
        <f>'Composite FY17'!S53-'[2]Composite FY15FINAL'!S46</f>
        <v>-3.4000000000000002E-3</v>
      </c>
      <c r="T46" s="88"/>
      <c r="U46" s="279">
        <f>'Composite FY17'!U53-'[2]Composite FY15FINAL'!U46</f>
        <v>-1.9199999999999995E-2</v>
      </c>
      <c r="V46" s="88"/>
      <c r="W46" s="279">
        <f>'Composite FY17'!W53-'[2]Composite FY15FINAL'!W46</f>
        <v>3.8699999999999984E-2</v>
      </c>
    </row>
    <row r="47" spans="1:34" x14ac:dyDescent="0.2">
      <c r="C47" s="3" t="s">
        <v>4</v>
      </c>
      <c r="D47" s="10"/>
      <c r="E47" s="14" t="s">
        <v>6</v>
      </c>
      <c r="F47" s="95"/>
      <c r="G47" s="99">
        <f>SUM(I47:AG47)</f>
        <v>-7.7967688728863838E-17</v>
      </c>
      <c r="H47" s="17"/>
      <c r="I47" s="279">
        <f>'Composite FY17'!I54-'[2]Composite FY15FINAL'!I47</f>
        <v>-1.0888628504193143E-3</v>
      </c>
      <c r="J47" s="85"/>
      <c r="K47" s="279">
        <f>'Composite FY17'!K54-'[2]Composite FY15FINAL'!K47</f>
        <v>1.2999999999999956E-3</v>
      </c>
      <c r="L47" s="85"/>
      <c r="M47" s="279">
        <f>'Composite FY17'!M54-'[2]Composite FY15FINAL'!M47</f>
        <v>-3.0000000000000165E-4</v>
      </c>
      <c r="N47" s="88"/>
      <c r="O47" s="279">
        <f>'Composite FY17'!O54-'[2]Composite FY15FINAL'!O47</f>
        <v>-3.0000000000000859E-4</v>
      </c>
      <c r="P47" s="88"/>
      <c r="Q47" s="279">
        <f>'Composite FY17'!Q54-'[2]Composite FY15FINAL'!Q47</f>
        <v>5.9999999999998943E-4</v>
      </c>
      <c r="R47" s="88"/>
      <c r="S47" s="279">
        <f>'Composite FY17'!S54-'[2]Composite FY15FINAL'!S47</f>
        <v>-1.5000000000000013E-3</v>
      </c>
      <c r="T47" s="88"/>
      <c r="U47" s="279">
        <f>'Composite FY17'!U54-'[2]Composite FY15FINAL'!U47</f>
        <v>1.2999999999999678E-3</v>
      </c>
      <c r="V47" s="88"/>
      <c r="W47" s="279">
        <f>'Composite FY17'!W54-'[2]Composite FY15FINAL'!W47</f>
        <v>-1.1137149580704971E-5</v>
      </c>
    </row>
    <row r="48" spans="1:34" x14ac:dyDescent="0.2">
      <c r="C48" s="2" t="s">
        <v>7</v>
      </c>
      <c r="D48" s="10"/>
      <c r="E48" s="14" t="s">
        <v>6</v>
      </c>
      <c r="F48" s="95"/>
      <c r="G48" s="99">
        <f>SUM(I48:AG48)</f>
        <v>1.1102230246251565E-16</v>
      </c>
      <c r="H48" s="17"/>
      <c r="I48" s="279">
        <f>'Composite FY17'!I55-'[2]Composite FY15FINAL'!I48</f>
        <v>-6.0999999999998833E-3</v>
      </c>
      <c r="J48" s="85"/>
      <c r="K48" s="279">
        <f>'Composite FY17'!K55-'[2]Composite FY15FINAL'!K48</f>
        <v>-3.4999999999999892E-3</v>
      </c>
      <c r="L48" s="85"/>
      <c r="M48" s="279">
        <f>'Composite FY17'!M55-'[2]Composite FY15FINAL'!M48</f>
        <v>-2.700000000000001E-3</v>
      </c>
      <c r="N48" s="88"/>
      <c r="O48" s="279">
        <f>'Composite FY17'!O55-'[2]Composite FY15FINAL'!O48</f>
        <v>-4.8999999999999946E-3</v>
      </c>
      <c r="P48" s="88"/>
      <c r="Q48" s="279">
        <f>'Composite FY17'!Q55-'[2]Composite FY15FINAL'!Q48</f>
        <v>-1.3299999999999992E-2</v>
      </c>
      <c r="R48" s="88"/>
      <c r="S48" s="279">
        <f>'Composite FY17'!S55-'[2]Composite FY15FINAL'!S48</f>
        <v>-1.6399999999999998E-2</v>
      </c>
      <c r="T48" s="88"/>
      <c r="U48" s="279">
        <f>'Composite FY17'!U55-'[2]Composite FY15FINAL'!U48</f>
        <v>-1.2400000000000022E-2</v>
      </c>
      <c r="V48" s="88"/>
      <c r="W48" s="279">
        <f>'Composite FY17'!W55-'[2]Composite FY15FINAL'!W48</f>
        <v>5.9299999999999992E-2</v>
      </c>
    </row>
    <row r="49" spans="3:33" x14ac:dyDescent="0.2">
      <c r="C49" s="51"/>
      <c r="D49" s="10"/>
      <c r="E49" s="14"/>
      <c r="F49" s="17"/>
      <c r="G49" s="91"/>
      <c r="H49" s="17"/>
      <c r="I49" s="100"/>
      <c r="J49" s="100"/>
      <c r="K49" s="100"/>
      <c r="L49" s="100"/>
      <c r="M49" s="100"/>
      <c r="N49" s="101"/>
      <c r="O49" s="100"/>
      <c r="P49" s="101"/>
      <c r="Q49" s="100"/>
      <c r="R49" s="101"/>
      <c r="S49" s="100"/>
      <c r="T49" s="101"/>
      <c r="U49" s="100"/>
      <c r="W49" s="88"/>
    </row>
    <row r="50" spans="3:33" x14ac:dyDescent="0.2">
      <c r="C50" s="119" t="str">
        <f>C19</f>
        <v>Total Composite Factor for FY 2014</v>
      </c>
      <c r="D50" s="10"/>
      <c r="E50" s="14" t="s">
        <v>6</v>
      </c>
      <c r="F50" s="17"/>
      <c r="G50" s="99">
        <f>SUM(I50:AG50)</f>
        <v>6.9388939039072284E-17</v>
      </c>
      <c r="H50" s="17"/>
      <c r="I50" s="279">
        <f>'Composite FY17'!I57-'[2]Composite FY15FINAL'!I50</f>
        <v>-2.6999999999999247E-3</v>
      </c>
      <c r="J50" s="85"/>
      <c r="K50" s="279">
        <f>'Composite FY17'!K57-'[2]Composite FY15FINAL'!K50</f>
        <v>-2.7999999999999969E-3</v>
      </c>
      <c r="L50" s="85"/>
      <c r="M50" s="279">
        <f>'Composite FY17'!M57-'[2]Composite FY15FINAL'!M50</f>
        <v>-8.9999999999999802E-4</v>
      </c>
      <c r="N50" s="88"/>
      <c r="O50" s="279">
        <f>'Composite FY17'!O57-'[2]Composite FY15FINAL'!O50</f>
        <v>-3.0000000000000027E-3</v>
      </c>
      <c r="P50" s="88"/>
      <c r="Q50" s="279">
        <f>'Composite FY17'!Q57-'[2]Composite FY15FINAL'!Q50</f>
        <v>-5.9999999999999915E-3</v>
      </c>
      <c r="R50" s="88"/>
      <c r="S50" s="279">
        <f>'Composite FY17'!S57-'[2]Composite FY15FINAL'!S50</f>
        <v>-7.1000000000000091E-3</v>
      </c>
      <c r="T50" s="88"/>
      <c r="U50" s="279">
        <f>'Composite FY17'!U57-'[2]Composite FY15FINAL'!U50</f>
        <v>-1.0099999999999998E-2</v>
      </c>
      <c r="V50" s="88"/>
      <c r="W50" s="279">
        <f>'Composite FY17'!W57-'[2]Composite FY15FINAL'!W50</f>
        <v>3.259999999999999E-2</v>
      </c>
    </row>
    <row r="52" spans="3:33" x14ac:dyDescent="0.2">
      <c r="I52" s="221" t="s">
        <v>254</v>
      </c>
      <c r="J52" s="222"/>
      <c r="K52" s="222" t="s">
        <v>255</v>
      </c>
      <c r="L52" s="222"/>
      <c r="M52" s="222" t="s">
        <v>256</v>
      </c>
      <c r="N52" s="223"/>
      <c r="O52" s="224" t="s">
        <v>256</v>
      </c>
      <c r="P52" s="223"/>
      <c r="Q52" s="222" t="s">
        <v>257</v>
      </c>
      <c r="R52" s="223"/>
      <c r="S52" s="222" t="s">
        <v>258</v>
      </c>
      <c r="T52" s="223"/>
      <c r="U52" s="222" t="s">
        <v>259</v>
      </c>
      <c r="V52" s="223"/>
      <c r="W52" s="222" t="s">
        <v>260</v>
      </c>
    </row>
    <row r="53" spans="3:33" ht="15.75" x14ac:dyDescent="0.25">
      <c r="I53" s="228" t="s">
        <v>180</v>
      </c>
      <c r="J53" s="229"/>
      <c r="K53" s="229" t="s">
        <v>181</v>
      </c>
      <c r="L53" s="229"/>
      <c r="M53" s="229" t="s">
        <v>182</v>
      </c>
      <c r="N53" s="229"/>
      <c r="O53" s="229" t="s">
        <v>182</v>
      </c>
      <c r="P53" s="229"/>
      <c r="Q53" s="229" t="s">
        <v>183</v>
      </c>
      <c r="R53" s="229"/>
      <c r="S53" s="230" t="s">
        <v>184</v>
      </c>
      <c r="T53" s="229"/>
      <c r="U53" s="230" t="s">
        <v>185</v>
      </c>
      <c r="V53" s="241"/>
      <c r="W53" s="232" t="s">
        <v>186</v>
      </c>
    </row>
    <row r="54" spans="3:33" x14ac:dyDescent="0.2">
      <c r="C54" s="96" t="s">
        <v>144</v>
      </c>
      <c r="D54" s="10"/>
      <c r="E54" s="14"/>
      <c r="F54" s="14"/>
      <c r="G54" s="15"/>
      <c r="H54" s="15"/>
      <c r="I54" s="5"/>
      <c r="N54" s="5"/>
      <c r="P54" s="5"/>
      <c r="R54" s="5"/>
      <c r="T54" s="5"/>
      <c r="V54" s="5"/>
      <c r="X54" s="5"/>
      <c r="Z54" s="5"/>
      <c r="AA54" s="5"/>
      <c r="AB54" s="5"/>
      <c r="AG54" s="5"/>
    </row>
    <row r="55" spans="3:33" x14ac:dyDescent="0.2">
      <c r="C55" s="17"/>
      <c r="D55" s="17"/>
      <c r="E55" s="17"/>
      <c r="F55" s="17"/>
      <c r="G55" s="17"/>
      <c r="H55" s="17"/>
      <c r="I55" s="55"/>
      <c r="J55" s="17"/>
      <c r="K55" s="17"/>
      <c r="L55" s="17"/>
      <c r="M55" s="92"/>
      <c r="N55" s="90"/>
      <c r="O55" s="17"/>
      <c r="P55" s="90"/>
      <c r="Q55" s="17"/>
      <c r="R55" s="90"/>
      <c r="S55" s="17"/>
      <c r="T55" s="90"/>
      <c r="U55" s="17"/>
    </row>
    <row r="56" spans="3:33" x14ac:dyDescent="0.2">
      <c r="C56" s="2" t="s">
        <v>2</v>
      </c>
      <c r="D56" s="10"/>
      <c r="E56" s="3" t="s">
        <v>3</v>
      </c>
      <c r="F56" s="17"/>
      <c r="G56" s="82">
        <f>SUM(I56:AG56)</f>
        <v>9215296372.1400013</v>
      </c>
      <c r="H56" s="17"/>
      <c r="I56" s="110">
        <f>I10</f>
        <v>652745151.35000002</v>
      </c>
      <c r="J56" s="8"/>
      <c r="K56" s="110">
        <f>K10</f>
        <v>556770002.48000002</v>
      </c>
      <c r="L56" s="8"/>
      <c r="M56" s="110">
        <f>M10</f>
        <v>220793722.37</v>
      </c>
      <c r="N56" s="46"/>
      <c r="O56" s="110">
        <f>O10</f>
        <v>568893959.82000005</v>
      </c>
      <c r="P56" s="46"/>
      <c r="Q56" s="110">
        <f>Q10</f>
        <v>1017265170.3699999</v>
      </c>
      <c r="R56" s="46"/>
      <c r="S56" s="110">
        <f>S10</f>
        <v>531795842.83000004</v>
      </c>
      <c r="T56" s="46"/>
      <c r="U56" s="110">
        <f>U10</f>
        <v>3663720621.48</v>
      </c>
      <c r="W56" s="110">
        <f>W10</f>
        <v>1980795728.6500001</v>
      </c>
      <c r="AA56" s="114"/>
      <c r="AB56" s="114"/>
      <c r="AC56" s="46"/>
      <c r="AD56" s="46"/>
      <c r="AE56" s="110">
        <f>AE10</f>
        <v>22516172.789999999</v>
      </c>
      <c r="AF56" s="46"/>
    </row>
    <row r="57" spans="3:33" x14ac:dyDescent="0.2">
      <c r="C57" s="3" t="s">
        <v>4</v>
      </c>
      <c r="D57" s="10"/>
      <c r="E57" s="3" t="s">
        <v>5</v>
      </c>
      <c r="F57" s="17"/>
      <c r="G57" s="82">
        <f>SUM(I57:AG57)</f>
        <v>3091125.083333333</v>
      </c>
      <c r="H57" s="17"/>
      <c r="I57" s="110">
        <f>I11</f>
        <v>299655.58333333331</v>
      </c>
      <c r="J57" s="8"/>
      <c r="K57" s="110">
        <f>K11</f>
        <v>249509.25</v>
      </c>
      <c r="L57" s="8"/>
      <c r="M57" s="110">
        <f>M11</f>
        <v>74383.416666666672</v>
      </c>
      <c r="N57" s="46"/>
      <c r="O57" s="110">
        <f>O11</f>
        <v>273973.91666666669</v>
      </c>
      <c r="P57" s="46"/>
      <c r="Q57" s="110">
        <f>Q11</f>
        <v>337869.5</v>
      </c>
      <c r="R57" s="46"/>
      <c r="S57" s="110">
        <f>S11</f>
        <v>247834.75</v>
      </c>
      <c r="T57" s="46"/>
      <c r="U57" s="110">
        <f>U11</f>
        <v>1607562.9166666667</v>
      </c>
      <c r="W57" s="110">
        <f>W11</f>
        <v>315.75</v>
      </c>
      <c r="AA57" s="114"/>
      <c r="AB57" s="114"/>
      <c r="AC57" s="46"/>
      <c r="AD57" s="46"/>
      <c r="AE57" s="110">
        <f>AE11</f>
        <v>20</v>
      </c>
      <c r="AF57" s="46"/>
    </row>
    <row r="58" spans="3:33" x14ac:dyDescent="0.2">
      <c r="C58" s="2" t="s">
        <v>15</v>
      </c>
      <c r="D58" s="10"/>
      <c r="E58" s="3" t="s">
        <v>3</v>
      </c>
      <c r="F58" s="17"/>
      <c r="G58" s="82">
        <f>SUM(I58:AG58)</f>
        <v>373557413.51999998</v>
      </c>
      <c r="H58" s="17"/>
      <c r="I58" s="110">
        <f>I12</f>
        <v>29874554.219999999</v>
      </c>
      <c r="J58" s="8"/>
      <c r="K58" s="110">
        <f>K12</f>
        <v>26093066.919999998</v>
      </c>
      <c r="L58" s="8"/>
      <c r="M58" s="110">
        <f>M12</f>
        <v>8919945</v>
      </c>
      <c r="N58" s="46"/>
      <c r="O58" s="110">
        <f>O12</f>
        <v>24124493.559999999</v>
      </c>
      <c r="P58" s="46"/>
      <c r="Q58" s="110">
        <f>Q12</f>
        <v>36066524.019999996</v>
      </c>
      <c r="R58" s="46"/>
      <c r="S58" s="110">
        <f>S12</f>
        <v>28949598.719999999</v>
      </c>
      <c r="T58" s="46"/>
      <c r="U58" s="110">
        <f>U12</f>
        <v>111747643.95999999</v>
      </c>
      <c r="W58" s="110">
        <f>W12</f>
        <v>106697111.01000001</v>
      </c>
      <c r="AA58" s="114"/>
      <c r="AB58" s="114"/>
      <c r="AC58" s="46"/>
      <c r="AD58" s="46"/>
      <c r="AE58" s="110">
        <f>AE12</f>
        <v>1084476.1099999999</v>
      </c>
      <c r="AF58" s="46"/>
    </row>
    <row r="59" spans="3:33" x14ac:dyDescent="0.2">
      <c r="C59" s="47" t="s">
        <v>16</v>
      </c>
      <c r="D59" s="10"/>
      <c r="E59" s="3"/>
      <c r="F59" s="17"/>
      <c r="G59" s="17"/>
      <c r="H59" s="17"/>
      <c r="I59" s="1"/>
      <c r="J59" s="4"/>
      <c r="K59" s="1"/>
      <c r="L59" s="4"/>
      <c r="M59" s="1"/>
      <c r="N59" s="1"/>
      <c r="O59" s="1"/>
      <c r="P59" s="1"/>
      <c r="Q59" s="1"/>
      <c r="R59" s="1"/>
      <c r="S59" s="1"/>
      <c r="T59" s="1"/>
      <c r="U59" s="1"/>
      <c r="W59" s="18"/>
      <c r="AA59" s="114"/>
      <c r="AB59" s="114"/>
      <c r="AC59" s="18"/>
      <c r="AD59" s="18"/>
      <c r="AE59" s="18"/>
      <c r="AF59" s="18"/>
    </row>
    <row r="60" spans="3:33" x14ac:dyDescent="0.2">
      <c r="C60" s="17"/>
      <c r="D60" s="17"/>
      <c r="E60" s="17"/>
      <c r="F60" s="17"/>
      <c r="G60" s="17"/>
      <c r="H60" s="17"/>
      <c r="I60" s="55"/>
      <c r="J60" s="17"/>
      <c r="K60" s="17"/>
      <c r="L60" s="17"/>
      <c r="M60" s="92"/>
      <c r="N60" s="90"/>
      <c r="O60" s="17"/>
      <c r="P60" s="90"/>
      <c r="Q60" s="17"/>
      <c r="R60" s="90"/>
      <c r="S60" s="17"/>
      <c r="T60" s="90"/>
      <c r="U60" s="17"/>
      <c r="AA60" s="114"/>
      <c r="AB60" s="114"/>
      <c r="AC60" s="45"/>
      <c r="AD60" s="45"/>
    </row>
    <row r="61" spans="3:33" x14ac:dyDescent="0.2">
      <c r="C61" s="2" t="s">
        <v>2</v>
      </c>
      <c r="D61" s="10"/>
      <c r="E61" s="14" t="s">
        <v>6</v>
      </c>
      <c r="F61" s="95"/>
      <c r="G61" s="99">
        <f>SUM(I61:AG61)</f>
        <v>-3.5128150388530344E-17</v>
      </c>
      <c r="H61" s="17"/>
      <c r="I61" s="279">
        <f>'Composite FY17'!I70-'[2]Composite FY15FINAL'!I61</f>
        <v>-1.0999999999999899E-3</v>
      </c>
      <c r="J61" s="85"/>
      <c r="K61" s="279">
        <f>'Composite FY17'!K70-'[2]Composite FY15FINAL'!K61</f>
        <v>-5.9999999999999984E-3</v>
      </c>
      <c r="L61" s="85"/>
      <c r="M61" s="279">
        <f>'Composite FY17'!M70-'[2]Composite FY15FINAL'!M61</f>
        <v>3.9999999999999758E-4</v>
      </c>
      <c r="N61" s="88"/>
      <c r="O61" s="279">
        <f>'Composite FY17'!O70-'[2]Composite FY15FINAL'!O61</f>
        <v>-3.699999999999995E-3</v>
      </c>
      <c r="P61" s="88"/>
      <c r="Q61" s="279">
        <f>'Composite FY17'!Q70-'[2]Composite FY15FINAL'!Q61</f>
        <v>-5.400000000000002E-3</v>
      </c>
      <c r="R61" s="88"/>
      <c r="S61" s="279">
        <f>'Composite FY17'!S70-'[2]Composite FY15FINAL'!S61</f>
        <v>-3.3000000000000043E-3</v>
      </c>
      <c r="T61" s="88"/>
      <c r="U61" s="279">
        <f>'Composite FY17'!U70-'[2]Composite FY15FINAL'!U61</f>
        <v>-1.8900000000000028E-2</v>
      </c>
      <c r="V61" s="88"/>
      <c r="W61" s="279">
        <f>'Composite FY17'!W70-'[2]Composite FY15FINAL'!W61</f>
        <v>3.8699999999999984E-2</v>
      </c>
      <c r="AA61" s="114"/>
      <c r="AB61" s="114"/>
      <c r="AC61" s="101"/>
      <c r="AD61" s="101"/>
      <c r="AE61" s="279">
        <f>'Composite FY17'!AE70-'[2]Composite FY15FINAL'!AE61</f>
        <v>-6.9999999999999967E-4</v>
      </c>
      <c r="AF61" s="101"/>
    </row>
    <row r="62" spans="3:33" x14ac:dyDescent="0.2">
      <c r="C62" s="3" t="s">
        <v>4</v>
      </c>
      <c r="D62" s="10"/>
      <c r="E62" s="14" t="s">
        <v>6</v>
      </c>
      <c r="F62" s="95"/>
      <c r="G62" s="99">
        <f>SUM(I62:AG62)</f>
        <v>-4.8572257327350599E-17</v>
      </c>
      <c r="H62" s="17"/>
      <c r="I62" s="279">
        <f>'Composite FY17'!I71-'[2]Composite FY15FINAL'!I62</f>
        <v>-1.0999999999999899E-3</v>
      </c>
      <c r="J62" s="85"/>
      <c r="K62" s="279">
        <f>'Composite FY17'!K71-'[2]Composite FY15FINAL'!K62</f>
        <v>1.2999999999999956E-3</v>
      </c>
      <c r="L62" s="85"/>
      <c r="M62" s="279">
        <f>'Composite FY17'!M71-'[2]Composite FY15FINAL'!M62</f>
        <v>-3.0000000000000165E-4</v>
      </c>
      <c r="N62" s="88"/>
      <c r="O62" s="279">
        <f>'Composite FY17'!O71-'[2]Composite FY15FINAL'!O62</f>
        <v>-3.0000000000000859E-4</v>
      </c>
      <c r="P62" s="88"/>
      <c r="Q62" s="279">
        <f>'Composite FY17'!Q71-'[2]Composite FY15FINAL'!Q62</f>
        <v>5.9999999999998943E-4</v>
      </c>
      <c r="R62" s="88"/>
      <c r="S62" s="279">
        <f>'Composite FY17'!S71-'[2]Composite FY15FINAL'!S62</f>
        <v>-1.5000000000000013E-3</v>
      </c>
      <c r="T62" s="88"/>
      <c r="U62" s="279">
        <f>'Composite FY17'!U71-'[2]Composite FY15FINAL'!U62</f>
        <v>1.2999999999999678E-3</v>
      </c>
      <c r="V62" s="88"/>
      <c r="W62" s="279">
        <f>'Composite FY17'!W71-'[2]Composite FY15FINAL'!W62</f>
        <v>0</v>
      </c>
      <c r="AA62" s="114"/>
      <c r="AB62" s="114"/>
      <c r="AC62" s="101"/>
      <c r="AD62" s="101"/>
      <c r="AE62" s="279">
        <f>'Composite FY17'!AE71-'[2]Composite FY15FINAL'!AE62</f>
        <v>0</v>
      </c>
      <c r="AF62" s="101"/>
    </row>
    <row r="63" spans="3:33" x14ac:dyDescent="0.2">
      <c r="C63" s="2" t="s">
        <v>7</v>
      </c>
      <c r="D63" s="10"/>
      <c r="E63" s="14" t="s">
        <v>6</v>
      </c>
      <c r="F63" s="95"/>
      <c r="G63" s="99">
        <f>SUM(I63:AG63)</f>
        <v>-9.0205620750793969E-17</v>
      </c>
      <c r="H63" s="17"/>
      <c r="I63" s="279">
        <f>'Composite FY17'!I72-'[2]Composite FY15FINAL'!I63</f>
        <v>-6.1000000000001053E-3</v>
      </c>
      <c r="J63" s="85"/>
      <c r="K63" s="279">
        <f>'Composite FY17'!K72-'[2]Composite FY15FINAL'!K63</f>
        <v>-3.5000000000000031E-3</v>
      </c>
      <c r="L63" s="85"/>
      <c r="M63" s="279">
        <f>'Composite FY17'!M72-'[2]Composite FY15FINAL'!M63</f>
        <v>-2.700000000000001E-3</v>
      </c>
      <c r="N63" s="88"/>
      <c r="O63" s="279">
        <f>'Composite FY17'!O72-'[2]Composite FY15FINAL'!O63</f>
        <v>-4.9000000000000016E-3</v>
      </c>
      <c r="P63" s="88"/>
      <c r="Q63" s="279">
        <f>'Composite FY17'!Q72-'[2]Composite FY15FINAL'!Q63</f>
        <v>-1.3299999999999992E-2</v>
      </c>
      <c r="R63" s="88"/>
      <c r="S63" s="279">
        <f>'Composite FY17'!S72-'[2]Composite FY15FINAL'!S63</f>
        <v>-1.6299999999999995E-2</v>
      </c>
      <c r="T63" s="88"/>
      <c r="U63" s="279">
        <f>'Composite FY17'!U72-'[2]Composite FY15FINAL'!U63</f>
        <v>-1.2299999999999978E-2</v>
      </c>
      <c r="V63" s="88"/>
      <c r="W63" s="279">
        <f>'Composite FY17'!W72-'[2]Composite FY15FINAL'!W63</f>
        <v>5.9099999999999986E-2</v>
      </c>
      <c r="AA63" s="114"/>
      <c r="AB63" s="114"/>
      <c r="AC63" s="101"/>
      <c r="AD63" s="101"/>
      <c r="AE63" s="279">
        <f>'Composite FY17'!AE72-'[2]Composite FY15FINAL'!AE63</f>
        <v>0</v>
      </c>
      <c r="AF63" s="101"/>
    </row>
    <row r="64" spans="3:33" x14ac:dyDescent="0.2">
      <c r="C64" s="51"/>
      <c r="D64" s="10"/>
      <c r="E64" s="14"/>
      <c r="F64" s="17"/>
      <c r="G64" s="91"/>
      <c r="H64" s="17"/>
      <c r="I64" s="100"/>
      <c r="J64" s="100"/>
      <c r="K64" s="100"/>
      <c r="L64" s="100"/>
      <c r="M64" s="100"/>
      <c r="N64" s="101"/>
      <c r="O64" s="100"/>
      <c r="P64" s="101"/>
      <c r="Q64" s="100"/>
      <c r="R64" s="101"/>
      <c r="S64" s="100"/>
      <c r="T64" s="101"/>
      <c r="U64" s="100"/>
      <c r="W64" s="88"/>
      <c r="AA64" s="114"/>
      <c r="AB64" s="114"/>
      <c r="AC64" s="88"/>
      <c r="AD64" s="88"/>
      <c r="AE64" s="88"/>
      <c r="AF64" s="88"/>
    </row>
    <row r="65" spans="3:32" x14ac:dyDescent="0.2">
      <c r="C65" s="119" t="str">
        <f>C19</f>
        <v>Total Composite Factor for FY 2014</v>
      </c>
      <c r="D65" s="10"/>
      <c r="E65" s="14" t="s">
        <v>6</v>
      </c>
      <c r="F65" s="17"/>
      <c r="G65" s="99">
        <f>SUM(I65:AG65)</f>
        <v>-4.9873299934333204E-17</v>
      </c>
      <c r="H65" s="17"/>
      <c r="I65" s="279">
        <f>'Composite FY17'!I74-'[2]Composite FY15FINAL'!I65</f>
        <v>-2.9000000000000137E-3</v>
      </c>
      <c r="J65" s="85"/>
      <c r="K65" s="279">
        <f>'Composite FY17'!K74-'[2]Composite FY15FINAL'!K65</f>
        <v>-2.7000000000000079E-3</v>
      </c>
      <c r="L65" s="85"/>
      <c r="M65" s="279">
        <f>'Composite FY17'!M74-'[2]Composite FY15FINAL'!M65</f>
        <v>-7.9999999999999863E-4</v>
      </c>
      <c r="N65" s="88"/>
      <c r="O65" s="279">
        <f>'Composite FY17'!O74-'[2]Composite FY15FINAL'!O65</f>
        <v>-3.0000000000000027E-3</v>
      </c>
      <c r="P65" s="88"/>
      <c r="Q65" s="279">
        <f>'Composite FY17'!Q74-'[2]Composite FY15FINAL'!Q65</f>
        <v>-6.0000000000000053E-3</v>
      </c>
      <c r="R65" s="88"/>
      <c r="S65" s="279">
        <f>'Composite FY17'!S74-'[2]Composite FY15FINAL'!S65</f>
        <v>-7.0000000000000062E-3</v>
      </c>
      <c r="T65" s="88"/>
      <c r="U65" s="279">
        <f>'Composite FY17'!U74-'[2]Composite FY15FINAL'!U65</f>
        <v>-1.0000000000000009E-2</v>
      </c>
      <c r="V65" s="88"/>
      <c r="W65" s="279">
        <f>'Composite FY17'!W74-'[2]Composite FY15FINAL'!W65</f>
        <v>3.259999999999999E-2</v>
      </c>
      <c r="AA65" s="114"/>
      <c r="AB65" s="114"/>
      <c r="AC65" s="101"/>
      <c r="AD65" s="101"/>
      <c r="AE65" s="279">
        <f>'Composite FY17'!AE74-'[2]Composite FY15FINAL'!AE65</f>
        <v>-2.0000000000000009E-4</v>
      </c>
      <c r="AF65" s="101"/>
    </row>
    <row r="66" spans="3:32" x14ac:dyDescent="0.2">
      <c r="C66" s="119"/>
      <c r="D66" s="10"/>
      <c r="E66" s="14"/>
      <c r="F66" s="17"/>
      <c r="G66" s="101"/>
      <c r="H66" s="17"/>
      <c r="I66" s="101"/>
      <c r="J66" s="100"/>
      <c r="K66" s="101"/>
      <c r="L66" s="100"/>
      <c r="M66" s="101"/>
      <c r="N66" s="101"/>
      <c r="O66" s="101"/>
      <c r="P66" s="101"/>
      <c r="Q66" s="101"/>
      <c r="R66" s="101"/>
      <c r="S66" s="101"/>
      <c r="T66" s="101"/>
      <c r="U66" s="101"/>
      <c r="V66" s="108"/>
      <c r="W66" s="101"/>
      <c r="AA66" s="114"/>
      <c r="AB66" s="114"/>
      <c r="AC66" s="101"/>
      <c r="AD66" s="101"/>
    </row>
    <row r="68" spans="3:32" ht="15.75" x14ac:dyDescent="0.25">
      <c r="I68" s="228" t="s">
        <v>145</v>
      </c>
      <c r="J68" s="229"/>
      <c r="K68" s="229" t="s">
        <v>146</v>
      </c>
      <c r="L68" s="229"/>
      <c r="M68" s="229" t="s">
        <v>147</v>
      </c>
      <c r="N68" s="229"/>
      <c r="O68" s="229" t="s">
        <v>147</v>
      </c>
      <c r="P68" s="229"/>
      <c r="Q68" s="229" t="s">
        <v>148</v>
      </c>
      <c r="R68" s="229"/>
      <c r="S68" s="230" t="s">
        <v>149</v>
      </c>
      <c r="T68" s="229"/>
      <c r="U68" s="230" t="s">
        <v>150</v>
      </c>
      <c r="V68" s="231"/>
      <c r="W68" s="232" t="s">
        <v>151</v>
      </c>
      <c r="X68" s="231"/>
      <c r="Y68" s="232"/>
      <c r="Z68" s="232"/>
      <c r="AA68" s="232"/>
      <c r="AB68" s="232"/>
      <c r="AC68" s="232"/>
      <c r="AD68" s="232"/>
      <c r="AE68" s="232" t="s">
        <v>152</v>
      </c>
    </row>
    <row r="69" spans="3:32" x14ac:dyDescent="0.2">
      <c r="C69" s="118" t="s">
        <v>94</v>
      </c>
      <c r="D69" s="10"/>
      <c r="E69" s="14"/>
      <c r="F69" s="14"/>
      <c r="G69" s="15"/>
      <c r="H69" s="15"/>
      <c r="I69" s="5"/>
      <c r="N69" s="5"/>
      <c r="P69" s="5"/>
      <c r="R69" s="5"/>
      <c r="T69" s="15"/>
      <c r="U69" s="14"/>
    </row>
    <row r="70" spans="3:32" x14ac:dyDescent="0.2">
      <c r="C70" s="17"/>
      <c r="D70" s="17"/>
      <c r="E70" s="17"/>
      <c r="F70" s="17"/>
      <c r="G70" s="17"/>
      <c r="H70" s="17"/>
      <c r="I70" s="55"/>
      <c r="J70" s="17"/>
      <c r="K70" s="17"/>
      <c r="L70" s="17"/>
      <c r="M70" s="92"/>
      <c r="N70" s="90"/>
      <c r="O70" s="17"/>
      <c r="P70" s="90"/>
      <c r="Q70" s="17"/>
      <c r="R70" s="90"/>
      <c r="S70" s="17"/>
      <c r="T70" s="90"/>
      <c r="U70" s="17"/>
    </row>
    <row r="71" spans="3:32" x14ac:dyDescent="0.2">
      <c r="C71" s="2" t="s">
        <v>2</v>
      </c>
      <c r="D71" s="10"/>
      <c r="E71" s="3" t="s">
        <v>3</v>
      </c>
      <c r="F71" s="17"/>
      <c r="G71" s="82">
        <f>SUM(I71:AG71)</f>
        <v>1741310996.6599998</v>
      </c>
      <c r="H71" s="17"/>
      <c r="I71" s="110">
        <f>I10</f>
        <v>652745151.35000002</v>
      </c>
      <c r="J71" s="8"/>
      <c r="K71" s="110">
        <f>K10</f>
        <v>556770002.48000002</v>
      </c>
      <c r="L71" s="8"/>
      <c r="M71" s="110"/>
      <c r="N71" s="8"/>
      <c r="O71" s="110"/>
      <c r="P71" s="8"/>
      <c r="Q71" s="110"/>
      <c r="R71" s="8"/>
      <c r="S71" s="110">
        <f>S10</f>
        <v>531795842.83000004</v>
      </c>
      <c r="T71" s="8"/>
      <c r="U71" s="110"/>
      <c r="V71" s="8"/>
      <c r="W71" s="110"/>
    </row>
    <row r="72" spans="3:32" x14ac:dyDescent="0.2">
      <c r="C72" s="3" t="s">
        <v>4</v>
      </c>
      <c r="D72" s="10"/>
      <c r="E72" s="3" t="s">
        <v>5</v>
      </c>
      <c r="F72" s="17"/>
      <c r="G72" s="82">
        <f>SUM(I72:AG72)</f>
        <v>796999.58333333326</v>
      </c>
      <c r="H72" s="17"/>
      <c r="I72" s="110">
        <f>I11</f>
        <v>299655.58333333331</v>
      </c>
      <c r="J72" s="8"/>
      <c r="K72" s="110">
        <f>K11</f>
        <v>249509.25</v>
      </c>
      <c r="L72" s="8"/>
      <c r="M72" s="110"/>
      <c r="N72" s="8"/>
      <c r="O72" s="110"/>
      <c r="P72" s="8"/>
      <c r="Q72" s="110"/>
      <c r="R72" s="8"/>
      <c r="S72" s="110">
        <f>S11</f>
        <v>247834.75</v>
      </c>
      <c r="T72" s="8"/>
      <c r="U72" s="110"/>
      <c r="V72" s="8"/>
      <c r="W72" s="110"/>
    </row>
    <row r="73" spans="3:32" x14ac:dyDescent="0.2">
      <c r="C73" s="2" t="s">
        <v>15</v>
      </c>
      <c r="D73" s="10"/>
      <c r="E73" s="3" t="s">
        <v>3</v>
      </c>
      <c r="F73" s="17"/>
      <c r="G73" s="82">
        <f>SUM(I73:AG73)</f>
        <v>84917219.859999999</v>
      </c>
      <c r="H73" s="17"/>
      <c r="I73" s="110">
        <f>I12</f>
        <v>29874554.219999999</v>
      </c>
      <c r="J73" s="8"/>
      <c r="K73" s="110">
        <f>K12</f>
        <v>26093066.919999998</v>
      </c>
      <c r="L73" s="8"/>
      <c r="M73" s="110"/>
      <c r="N73" s="8"/>
      <c r="O73" s="110"/>
      <c r="P73" s="8"/>
      <c r="Q73" s="110"/>
      <c r="R73" s="8"/>
      <c r="S73" s="110">
        <f>S12</f>
        <v>28949598.719999999</v>
      </c>
      <c r="T73" s="8"/>
      <c r="U73" s="110"/>
      <c r="V73" s="8"/>
      <c r="W73" s="110"/>
    </row>
    <row r="74" spans="3:32" x14ac:dyDescent="0.2">
      <c r="C74" s="47" t="s">
        <v>16</v>
      </c>
      <c r="D74" s="10"/>
      <c r="E74" s="3"/>
      <c r="F74" s="17"/>
      <c r="G74" s="17"/>
      <c r="H74" s="17"/>
      <c r="I74" s="1"/>
      <c r="J74" s="4"/>
      <c r="K74" s="1"/>
      <c r="L74" s="4"/>
      <c r="M74" s="1"/>
      <c r="N74" s="1"/>
      <c r="O74" s="1"/>
      <c r="P74" s="1"/>
      <c r="Q74" s="1"/>
      <c r="R74" s="1"/>
      <c r="S74" s="1"/>
      <c r="T74" s="1"/>
      <c r="U74" s="1"/>
      <c r="W74" s="18"/>
    </row>
    <row r="75" spans="3:32" x14ac:dyDescent="0.2">
      <c r="C75" s="17"/>
      <c r="D75" s="17"/>
      <c r="E75" s="17"/>
      <c r="F75" s="17"/>
      <c r="G75" s="17"/>
      <c r="H75" s="17"/>
      <c r="I75" s="55"/>
      <c r="J75" s="17"/>
      <c r="K75" s="17"/>
      <c r="L75" s="17"/>
      <c r="M75" s="92"/>
      <c r="N75" s="90"/>
      <c r="O75" s="17"/>
      <c r="P75" s="90"/>
      <c r="Q75" s="17"/>
      <c r="R75" s="90"/>
      <c r="S75" s="17"/>
      <c r="T75" s="90"/>
      <c r="U75" s="17"/>
    </row>
    <row r="76" spans="3:32" x14ac:dyDescent="0.2">
      <c r="C76" s="2" t="s">
        <v>2</v>
      </c>
      <c r="D76" s="10"/>
      <c r="E76" s="14" t="s">
        <v>6</v>
      </c>
      <c r="F76" s="95"/>
      <c r="G76" s="99">
        <f>SUM(I76:AG76)</f>
        <v>-1.1102230246251565E-16</v>
      </c>
      <c r="H76" s="17"/>
      <c r="I76" s="279">
        <f>'Composite FY17'!I85-'[2]Composite FY15FINAL'!I76</f>
        <v>1.5099999999999891E-2</v>
      </c>
      <c r="J76" s="85"/>
      <c r="K76" s="279">
        <f>'Composite FY17'!K85-'[2]Composite FY15FINAL'!K76</f>
        <v>-1.4500000000000013E-2</v>
      </c>
      <c r="L76" s="100"/>
      <c r="M76" s="99"/>
      <c r="N76" s="101"/>
      <c r="O76" s="99"/>
      <c r="P76" s="101"/>
      <c r="Q76" s="99"/>
      <c r="R76" s="101"/>
      <c r="S76" s="279">
        <f>'Composite FY17'!S85-'[2]Composite FY15FINAL'!S76</f>
        <v>-5.9999999999998943E-4</v>
      </c>
      <c r="T76" s="101"/>
      <c r="U76" s="99"/>
      <c r="W76" s="99"/>
    </row>
    <row r="77" spans="3:32" x14ac:dyDescent="0.2">
      <c r="C77" s="3" t="s">
        <v>4</v>
      </c>
      <c r="D77" s="10"/>
      <c r="E77" s="14" t="s">
        <v>6</v>
      </c>
      <c r="F77" s="95"/>
      <c r="G77" s="99">
        <f>SUM(I77:AG77)</f>
        <v>0</v>
      </c>
      <c r="H77" s="17"/>
      <c r="I77" s="279">
        <f>'Composite FY17'!I86-'[2]Composite FY15FINAL'!I77</f>
        <v>-1.9000000000000128E-3</v>
      </c>
      <c r="J77" s="85"/>
      <c r="K77" s="279">
        <f>'Composite FY17'!K86-'[2]Composite FY15FINAL'!K77</f>
        <v>6.5000000000000058E-3</v>
      </c>
      <c r="L77" s="100"/>
      <c r="M77" s="99"/>
      <c r="N77" s="101"/>
      <c r="O77" s="99"/>
      <c r="P77" s="101"/>
      <c r="Q77" s="99"/>
      <c r="R77" s="101"/>
      <c r="S77" s="279">
        <f>'Composite FY17'!S86-'[2]Composite FY15FINAL'!S77</f>
        <v>-4.599999999999993E-3</v>
      </c>
      <c r="T77" s="101"/>
      <c r="U77" s="99"/>
      <c r="W77" s="99"/>
    </row>
    <row r="78" spans="3:32" x14ac:dyDescent="0.2">
      <c r="C78" s="2" t="s">
        <v>7</v>
      </c>
      <c r="D78" s="10"/>
      <c r="E78" s="14" t="s">
        <v>6</v>
      </c>
      <c r="F78" s="95"/>
      <c r="G78" s="99">
        <f>SUM(I78:AG78)</f>
        <v>-5.5511151231257827E-17</v>
      </c>
      <c r="H78" s="17"/>
      <c r="I78" s="279">
        <f>'Composite FY17'!I87-'[2]Composite FY15FINAL'!I78</f>
        <v>1.2099999999999889E-2</v>
      </c>
      <c r="J78" s="85"/>
      <c r="K78" s="279">
        <f>'Composite FY17'!K87-'[2]Composite FY15FINAL'!K78</f>
        <v>1.6800000000000037E-2</v>
      </c>
      <c r="L78" s="100"/>
      <c r="M78" s="99"/>
      <c r="N78" s="101"/>
      <c r="O78" s="99"/>
      <c r="P78" s="101"/>
      <c r="Q78" s="99"/>
      <c r="R78" s="101"/>
      <c r="S78" s="279">
        <f>'Composite FY17'!S87-'[2]Composite FY15FINAL'!S78</f>
        <v>-2.8899999999999981E-2</v>
      </c>
      <c r="T78" s="101"/>
      <c r="U78" s="99"/>
      <c r="W78" s="99"/>
    </row>
    <row r="79" spans="3:32" x14ac:dyDescent="0.2">
      <c r="C79" s="51"/>
      <c r="D79" s="10"/>
      <c r="E79" s="14"/>
      <c r="F79" s="17"/>
      <c r="G79" s="91"/>
      <c r="H79" s="17"/>
      <c r="I79" s="100"/>
      <c r="J79" s="100"/>
      <c r="K79" s="100"/>
      <c r="L79" s="100"/>
      <c r="M79" s="100"/>
      <c r="N79" s="101"/>
      <c r="O79" s="100"/>
      <c r="P79" s="101"/>
      <c r="Q79" s="100"/>
      <c r="R79" s="101"/>
      <c r="S79" s="100"/>
      <c r="T79" s="101"/>
      <c r="U79" s="100"/>
      <c r="W79" s="88"/>
    </row>
    <row r="80" spans="3:32" x14ac:dyDescent="0.2">
      <c r="C80" s="119" t="str">
        <f>C19</f>
        <v>Total Composite Factor for FY 2014</v>
      </c>
      <c r="D80" s="10"/>
      <c r="E80" s="14" t="s">
        <v>6</v>
      </c>
      <c r="F80" s="17"/>
      <c r="G80" s="99">
        <f>SUM(I80:AG80)</f>
        <v>0</v>
      </c>
      <c r="H80" s="17"/>
      <c r="I80" s="279">
        <f>'Composite FY17'!I89-'[2]Composite FY15FINAL'!I80</f>
        <v>8.2999999999999741E-3</v>
      </c>
      <c r="J80" s="85"/>
      <c r="K80" s="279">
        <f>'Composite FY17'!K89-'[2]Composite FY15FINAL'!K80</f>
        <v>3.0000000000000027E-3</v>
      </c>
      <c r="L80" s="100"/>
      <c r="M80" s="99"/>
      <c r="N80" s="101"/>
      <c r="O80" s="99"/>
      <c r="P80" s="101"/>
      <c r="Q80" s="99"/>
      <c r="R80" s="101"/>
      <c r="S80" s="279">
        <f>'Composite FY17'!S89-'[2]Composite FY15FINAL'!S80</f>
        <v>-1.1299999999999977E-2</v>
      </c>
      <c r="T80" s="101"/>
      <c r="U80" s="99"/>
      <c r="V80" s="108"/>
      <c r="W80" s="99"/>
    </row>
    <row r="81" spans="3:23" ht="15.75" x14ac:dyDescent="0.25">
      <c r="I81" s="228" t="s">
        <v>153</v>
      </c>
      <c r="J81" s="229"/>
      <c r="K81" s="229" t="s">
        <v>154</v>
      </c>
      <c r="L81" s="229"/>
      <c r="M81" s="229"/>
      <c r="N81" s="229"/>
      <c r="O81" s="229"/>
      <c r="P81" s="229"/>
      <c r="Q81" s="229"/>
      <c r="R81" s="229"/>
      <c r="S81" s="230" t="s">
        <v>155</v>
      </c>
    </row>
    <row r="83" spans="3:23" x14ac:dyDescent="0.2">
      <c r="C83" s="96" t="s">
        <v>95</v>
      </c>
      <c r="D83" s="10"/>
      <c r="E83" s="14"/>
      <c r="F83" s="14"/>
      <c r="G83" s="15"/>
      <c r="H83" s="15"/>
      <c r="I83" s="53"/>
      <c r="J83" s="15"/>
      <c r="K83" s="15"/>
      <c r="L83" s="15"/>
      <c r="P83" s="15"/>
      <c r="Q83" s="15"/>
      <c r="R83" s="15"/>
      <c r="S83" s="14"/>
      <c r="T83" s="15"/>
      <c r="U83" s="14"/>
    </row>
    <row r="84" spans="3:23" x14ac:dyDescent="0.2">
      <c r="C84" s="17"/>
      <c r="D84" s="17"/>
      <c r="E84" s="17"/>
      <c r="F84" s="17"/>
      <c r="G84" s="17"/>
      <c r="H84" s="17"/>
      <c r="I84" s="55"/>
      <c r="J84" s="17"/>
      <c r="K84" s="17"/>
      <c r="L84" s="17"/>
      <c r="M84" s="92"/>
      <c r="N84" s="90"/>
      <c r="O84" s="17"/>
      <c r="P84" s="90"/>
      <c r="Q84" s="17"/>
      <c r="R84" s="90"/>
      <c r="S84" s="17"/>
      <c r="T84" s="90"/>
      <c r="U84" s="17"/>
    </row>
    <row r="85" spans="3:23" x14ac:dyDescent="0.2">
      <c r="C85" s="2" t="s">
        <v>2</v>
      </c>
      <c r="D85" s="10"/>
      <c r="E85" s="3" t="s">
        <v>3</v>
      </c>
      <c r="F85" s="17"/>
      <c r="G85" s="82">
        <f>SUM(I85:AG85)</f>
        <v>789687682.19000006</v>
      </c>
      <c r="H85" s="17"/>
      <c r="I85" s="110"/>
      <c r="J85" s="8"/>
      <c r="K85" s="110"/>
      <c r="L85" s="8"/>
      <c r="M85" s="110">
        <f>M10</f>
        <v>220793722.37</v>
      </c>
      <c r="N85" s="8"/>
      <c r="O85" s="110">
        <f>O10</f>
        <v>568893959.82000005</v>
      </c>
      <c r="P85" s="8"/>
      <c r="Q85" s="110"/>
      <c r="R85" s="8"/>
      <c r="S85" s="110"/>
      <c r="T85" s="8"/>
      <c r="U85" s="110"/>
      <c r="V85" s="8"/>
      <c r="W85" s="110"/>
    </row>
    <row r="86" spans="3:23" x14ac:dyDescent="0.2">
      <c r="C86" s="3" t="s">
        <v>4</v>
      </c>
      <c r="D86" s="10"/>
      <c r="E86" s="3" t="s">
        <v>5</v>
      </c>
      <c r="F86" s="17"/>
      <c r="G86" s="82">
        <f>SUM(I86:AG86)</f>
        <v>348357.33333333337</v>
      </c>
      <c r="H86" s="17"/>
      <c r="I86" s="110"/>
      <c r="J86" s="8"/>
      <c r="K86" s="110"/>
      <c r="L86" s="8"/>
      <c r="M86" s="110">
        <f>M11</f>
        <v>74383.416666666672</v>
      </c>
      <c r="N86" s="8"/>
      <c r="O86" s="110">
        <f>O11</f>
        <v>273973.91666666669</v>
      </c>
      <c r="P86" s="8"/>
      <c r="Q86" s="110"/>
      <c r="R86" s="8"/>
      <c r="S86" s="110"/>
      <c r="T86" s="8"/>
      <c r="U86" s="110"/>
      <c r="V86" s="8"/>
      <c r="W86" s="110"/>
    </row>
    <row r="87" spans="3:23" x14ac:dyDescent="0.2">
      <c r="C87" s="2" t="s">
        <v>15</v>
      </c>
      <c r="D87" s="10"/>
      <c r="E87" s="3" t="s">
        <v>3</v>
      </c>
      <c r="F87" s="17"/>
      <c r="G87" s="82">
        <f>SUM(I87:AG87)</f>
        <v>33044438.559999999</v>
      </c>
      <c r="H87" s="17"/>
      <c r="I87" s="110"/>
      <c r="J87" s="8"/>
      <c r="K87" s="110"/>
      <c r="L87" s="8"/>
      <c r="M87" s="110">
        <f>M12</f>
        <v>8919945</v>
      </c>
      <c r="N87" s="8"/>
      <c r="O87" s="110">
        <f>O12</f>
        <v>24124493.559999999</v>
      </c>
      <c r="P87" s="8"/>
      <c r="Q87" s="110"/>
      <c r="R87" s="8"/>
      <c r="S87" s="110"/>
      <c r="T87" s="8"/>
      <c r="U87" s="110"/>
      <c r="V87" s="8"/>
      <c r="W87" s="110"/>
    </row>
    <row r="88" spans="3:23" x14ac:dyDescent="0.2">
      <c r="C88" s="47" t="s">
        <v>16</v>
      </c>
      <c r="D88" s="10"/>
      <c r="E88" s="3"/>
      <c r="F88" s="17"/>
      <c r="G88" s="17"/>
      <c r="H88" s="17"/>
      <c r="I88" s="1"/>
      <c r="J88" s="4"/>
      <c r="K88" s="1"/>
      <c r="L88" s="4"/>
      <c r="M88" s="1"/>
      <c r="N88" s="1"/>
      <c r="O88" s="1"/>
      <c r="P88" s="1"/>
      <c r="Q88" s="1"/>
      <c r="R88" s="1"/>
      <c r="S88" s="1"/>
      <c r="T88" s="1"/>
      <c r="U88" s="1"/>
      <c r="W88" s="18"/>
    </row>
    <row r="89" spans="3:23" x14ac:dyDescent="0.2">
      <c r="C89" s="17"/>
      <c r="D89" s="17"/>
      <c r="E89" s="17"/>
      <c r="F89" s="17"/>
      <c r="G89" s="17"/>
      <c r="H89" s="17"/>
      <c r="I89" s="55"/>
      <c r="J89" s="17"/>
      <c r="K89" s="17"/>
      <c r="L89" s="17"/>
      <c r="M89" s="92"/>
      <c r="N89" s="90"/>
      <c r="O89" s="17"/>
      <c r="P89" s="90"/>
      <c r="Q89" s="17"/>
      <c r="R89" s="90"/>
      <c r="S89" s="17"/>
      <c r="T89" s="90"/>
      <c r="U89" s="17"/>
    </row>
    <row r="90" spans="3:23" x14ac:dyDescent="0.2">
      <c r="C90" s="2" t="s">
        <v>2</v>
      </c>
      <c r="D90" s="10"/>
      <c r="E90" s="14" t="s">
        <v>6</v>
      </c>
      <c r="F90" s="95"/>
      <c r="G90" s="99">
        <f>SUM(I90:AG90)</f>
        <v>0</v>
      </c>
      <c r="H90" s="17"/>
      <c r="I90" s="279">
        <f>'Composite FY17'!I99-'[2]Composite FY15FINAL'!I90</f>
        <v>0</v>
      </c>
      <c r="J90" s="85"/>
      <c r="K90" s="279">
        <f>'Composite FY17'!K99-'[2]Composite FY15FINAL'!K90</f>
        <v>0</v>
      </c>
      <c r="L90" s="85"/>
      <c r="M90" s="279">
        <f>'Composite FY17'!M99-'[2]Composite FY15FINAL'!M90</f>
        <v>1.6100000000000003E-2</v>
      </c>
      <c r="N90" s="88"/>
      <c r="O90" s="279">
        <f>'Composite FY17'!O99-'[2]Composite FY15FINAL'!O90</f>
        <v>-1.6100000000000003E-2</v>
      </c>
      <c r="P90" s="88"/>
      <c r="Q90" s="279">
        <f>'Composite FY17'!Q99-'[2]Composite FY15FINAL'!Q90</f>
        <v>0</v>
      </c>
      <c r="R90" s="88"/>
      <c r="S90" s="279">
        <f>'Composite FY17'!S99-'[2]Composite FY15FINAL'!S90</f>
        <v>0</v>
      </c>
      <c r="T90" s="88"/>
      <c r="U90" s="279">
        <f>'Composite FY17'!U99-'[2]Composite FY15FINAL'!U90</f>
        <v>0</v>
      </c>
      <c r="V90" s="88"/>
      <c r="W90" s="279">
        <f>'Composite FY17'!W99-'[2]Composite FY15FINAL'!W90</f>
        <v>0</v>
      </c>
    </row>
    <row r="91" spans="3:23" x14ac:dyDescent="0.2">
      <c r="C91" s="3" t="s">
        <v>4</v>
      </c>
      <c r="D91" s="10"/>
      <c r="E91" s="14" t="s">
        <v>6</v>
      </c>
      <c r="F91" s="95"/>
      <c r="G91" s="99">
        <f>SUM(I91:AG91)</f>
        <v>2.7755575615628914E-17</v>
      </c>
      <c r="H91" s="17"/>
      <c r="I91" s="279">
        <f>'Composite FY17'!I100-'[2]Composite FY15FINAL'!I91</f>
        <v>0</v>
      </c>
      <c r="J91" s="85"/>
      <c r="K91" s="279">
        <f>'Composite FY17'!K100-'[2]Composite FY15FINAL'!K91</f>
        <v>0</v>
      </c>
      <c r="L91" s="85"/>
      <c r="M91" s="279">
        <f>'Composite FY17'!M100-'[2]Composite FY15FINAL'!M91</f>
        <v>-1.799999999999996E-3</v>
      </c>
      <c r="N91" s="88"/>
      <c r="O91" s="279">
        <f>'Composite FY17'!O100-'[2]Composite FY15FINAL'!O91</f>
        <v>1.8000000000000238E-3</v>
      </c>
      <c r="P91" s="88"/>
      <c r="Q91" s="279">
        <f>'Composite FY17'!Q100-'[2]Composite FY15FINAL'!Q91</f>
        <v>0</v>
      </c>
      <c r="R91" s="88"/>
      <c r="S91" s="279">
        <f>'Composite FY17'!S100-'[2]Composite FY15FINAL'!S91</f>
        <v>0</v>
      </c>
      <c r="T91" s="88"/>
      <c r="U91" s="279">
        <f>'Composite FY17'!U100-'[2]Composite FY15FINAL'!U91</f>
        <v>0</v>
      </c>
      <c r="V91" s="88"/>
      <c r="W91" s="279">
        <f>'Composite FY17'!W100-'[2]Composite FY15FINAL'!W91</f>
        <v>0</v>
      </c>
    </row>
    <row r="92" spans="3:23" x14ac:dyDescent="0.2">
      <c r="C92" s="2" t="s">
        <v>7</v>
      </c>
      <c r="D92" s="10"/>
      <c r="E92" s="14" t="s">
        <v>6</v>
      </c>
      <c r="F92" s="95"/>
      <c r="G92" s="99">
        <f>SUM(I92:AG92)</f>
        <v>-5.5511151231257827E-17</v>
      </c>
      <c r="H92" s="17"/>
      <c r="I92" s="279">
        <f>'Composite FY17'!I101-'[2]Composite FY15FINAL'!I92</f>
        <v>0</v>
      </c>
      <c r="J92" s="85"/>
      <c r="K92" s="279">
        <f>'Composite FY17'!K101-'[2]Composite FY15FINAL'!K92</f>
        <v>0</v>
      </c>
      <c r="L92" s="85"/>
      <c r="M92" s="279">
        <f>'Composite FY17'!M101-'[2]Composite FY15FINAL'!M92</f>
        <v>-6.5000000000000058E-3</v>
      </c>
      <c r="N92" s="88"/>
      <c r="O92" s="279">
        <f>'Composite FY17'!O101-'[2]Composite FY15FINAL'!O92</f>
        <v>6.4999999999999503E-3</v>
      </c>
      <c r="P92" s="88"/>
      <c r="Q92" s="279">
        <f>'Composite FY17'!Q101-'[2]Composite FY15FINAL'!Q92</f>
        <v>0</v>
      </c>
      <c r="R92" s="88"/>
      <c r="S92" s="279">
        <f>'Composite FY17'!S101-'[2]Composite FY15FINAL'!S92</f>
        <v>0</v>
      </c>
      <c r="T92" s="88"/>
      <c r="U92" s="279">
        <f>'Composite FY17'!U101-'[2]Composite FY15FINAL'!U92</f>
        <v>0</v>
      </c>
      <c r="V92" s="88"/>
      <c r="W92" s="279">
        <f>'Composite FY17'!W101-'[2]Composite FY15FINAL'!W92</f>
        <v>0</v>
      </c>
    </row>
    <row r="93" spans="3:23" x14ac:dyDescent="0.2">
      <c r="C93" s="51"/>
      <c r="D93" s="10"/>
      <c r="E93" s="14"/>
      <c r="F93" s="17"/>
      <c r="G93" s="91"/>
      <c r="H93" s="17"/>
      <c r="I93" s="100"/>
      <c r="J93" s="100"/>
      <c r="K93" s="100"/>
      <c r="L93" s="100"/>
      <c r="M93" s="100"/>
      <c r="N93" s="101"/>
      <c r="O93" s="100"/>
      <c r="P93" s="101"/>
      <c r="Q93" s="100"/>
      <c r="R93" s="101"/>
      <c r="S93" s="100"/>
      <c r="T93" s="101"/>
      <c r="U93" s="100"/>
      <c r="W93" s="88"/>
    </row>
    <row r="94" spans="3:23" x14ac:dyDescent="0.2">
      <c r="C94" s="119" t="str">
        <f>C19</f>
        <v>Total Composite Factor for FY 2014</v>
      </c>
      <c r="D94" s="10"/>
      <c r="E94" s="14" t="s">
        <v>6</v>
      </c>
      <c r="F94" s="17"/>
      <c r="G94" s="99">
        <f>SUM(I94:AG94)</f>
        <v>5.5511151231257827E-17</v>
      </c>
      <c r="H94" s="17"/>
      <c r="I94" s="279">
        <f>'Composite FY17'!I103-'[2]Composite FY15FINAL'!I94</f>
        <v>0</v>
      </c>
      <c r="J94" s="85"/>
      <c r="K94" s="279">
        <f>'Composite FY17'!K103-'[2]Composite FY15FINAL'!K94</f>
        <v>0</v>
      </c>
      <c r="L94" s="85"/>
      <c r="M94" s="279">
        <f>'Composite FY17'!M103-'[2]Composite FY15FINAL'!M94</f>
        <v>2.5999999999999912E-3</v>
      </c>
      <c r="N94" s="88"/>
      <c r="O94" s="279">
        <f>'Composite FY17'!O103-'[2]Composite FY15FINAL'!O94</f>
        <v>-2.5999999999999357E-3</v>
      </c>
      <c r="P94" s="88"/>
      <c r="Q94" s="279">
        <f>'Composite FY17'!Q103-'[2]Composite FY15FINAL'!Q94</f>
        <v>0</v>
      </c>
      <c r="R94" s="88"/>
      <c r="S94" s="279">
        <f>'Composite FY17'!S103-'[2]Composite FY15FINAL'!S94</f>
        <v>0</v>
      </c>
      <c r="T94" s="88"/>
      <c r="U94" s="279">
        <f>'Composite FY17'!U103-'[2]Composite FY15FINAL'!U94</f>
        <v>0</v>
      </c>
      <c r="V94" s="88"/>
      <c r="W94" s="279">
        <f>'Composite FY17'!W103-'[2]Composite FY15FINAL'!W94</f>
        <v>0</v>
      </c>
    </row>
    <row r="96" spans="3:23" ht="15.75" x14ac:dyDescent="0.25">
      <c r="G96" s="147" t="s">
        <v>187</v>
      </c>
      <c r="M96" s="214" t="s">
        <v>194</v>
      </c>
      <c r="N96" s="215"/>
      <c r="O96" s="214" t="s">
        <v>195</v>
      </c>
    </row>
    <row r="97" spans="1:38" ht="15.75" x14ac:dyDescent="0.25">
      <c r="G97" s="147"/>
      <c r="M97" s="209" t="s">
        <v>156</v>
      </c>
      <c r="N97" s="209"/>
      <c r="O97" s="209" t="s">
        <v>157</v>
      </c>
    </row>
    <row r="98" spans="1:38" ht="15.75" x14ac:dyDescent="0.25">
      <c r="G98" s="147"/>
      <c r="M98" s="147"/>
      <c r="N98" s="148"/>
      <c r="O98" s="147"/>
    </row>
    <row r="99" spans="1:38" ht="15.75" x14ac:dyDescent="0.25">
      <c r="G99" s="147"/>
      <c r="M99" s="147"/>
      <c r="N99" s="148"/>
      <c r="O99" s="147"/>
    </row>
    <row r="100" spans="1:38" s="14" customFormat="1" ht="15.75" x14ac:dyDescent="0.25">
      <c r="A100" s="19"/>
      <c r="C100" s="96" t="s">
        <v>97</v>
      </c>
      <c r="D100" s="10"/>
      <c r="G100" s="15"/>
      <c r="H100" s="15"/>
      <c r="T100" s="149"/>
      <c r="U100" s="150"/>
      <c r="V100" s="16"/>
      <c r="W100" s="16"/>
      <c r="X100" s="15"/>
      <c r="Y100" s="15"/>
      <c r="Z100" s="16"/>
      <c r="AA100" s="15"/>
      <c r="AB100" s="15"/>
      <c r="AC100" s="15"/>
      <c r="AD100" s="15"/>
      <c r="AG100" s="16"/>
      <c r="AH100" s="16"/>
      <c r="AI100" s="15"/>
      <c r="AJ100" s="15"/>
      <c r="AK100" s="15"/>
      <c r="AL100" s="15"/>
    </row>
    <row r="101" spans="1:38" s="17" customFormat="1" x14ac:dyDescent="0.2">
      <c r="A101" s="54"/>
      <c r="I101" s="55"/>
      <c r="M101" s="92"/>
      <c r="N101" s="90"/>
      <c r="P101" s="90"/>
      <c r="R101" s="90"/>
      <c r="T101" s="90"/>
      <c r="V101" s="90"/>
      <c r="X101" s="90"/>
      <c r="Z101" s="36"/>
      <c r="AA101" s="36"/>
      <c r="AB101" s="36"/>
      <c r="AG101" s="36"/>
      <c r="AH101" s="36"/>
    </row>
    <row r="102" spans="1:38" s="17" customFormat="1" x14ac:dyDescent="0.2">
      <c r="A102" s="54"/>
      <c r="C102" s="2" t="s">
        <v>2</v>
      </c>
      <c r="D102" s="10"/>
      <c r="E102" s="3" t="s">
        <v>3</v>
      </c>
      <c r="G102" s="82">
        <f>SUM(I102:AG102)</f>
        <v>3548263849.2199998</v>
      </c>
      <c r="I102" s="110">
        <f>I10</f>
        <v>652745151.35000002</v>
      </c>
      <c r="J102" s="8"/>
      <c r="K102" s="110">
        <f>K10</f>
        <v>556770002.48000002</v>
      </c>
      <c r="L102" s="8"/>
      <c r="M102" s="110">
        <f>M10</f>
        <v>220793722.37</v>
      </c>
      <c r="N102" s="46"/>
      <c r="O102" s="110">
        <f>O10</f>
        <v>568893959.82000005</v>
      </c>
      <c r="P102" s="46"/>
      <c r="Q102" s="110">
        <f>Q10</f>
        <v>1017265170.3699999</v>
      </c>
      <c r="R102" s="46"/>
      <c r="S102" s="110">
        <f>S10</f>
        <v>531795842.83000004</v>
      </c>
      <c r="T102" s="46"/>
      <c r="U102" s="110"/>
      <c r="V102" s="1"/>
      <c r="W102" s="1"/>
      <c r="X102" s="90"/>
      <c r="Z102" s="36"/>
      <c r="AA102" s="36"/>
      <c r="AB102" s="36"/>
      <c r="AG102" s="36"/>
      <c r="AH102" s="36"/>
    </row>
    <row r="103" spans="1:38" s="17" customFormat="1" x14ac:dyDescent="0.2">
      <c r="A103" s="54"/>
      <c r="C103" s="3" t="s">
        <v>4</v>
      </c>
      <c r="D103" s="10"/>
      <c r="E103" s="3" t="s">
        <v>5</v>
      </c>
      <c r="G103" s="83">
        <f>SUM(I103:AG103)</f>
        <v>1483226.4166666665</v>
      </c>
      <c r="I103" s="110">
        <f>+I11</f>
        <v>299655.58333333331</v>
      </c>
      <c r="J103" s="8"/>
      <c r="K103" s="110">
        <f>K11</f>
        <v>249509.25</v>
      </c>
      <c r="L103" s="8"/>
      <c r="M103" s="110">
        <f>M11</f>
        <v>74383.416666666672</v>
      </c>
      <c r="N103" s="46"/>
      <c r="O103" s="110">
        <f>O11</f>
        <v>273973.91666666669</v>
      </c>
      <c r="P103" s="46"/>
      <c r="Q103" s="110">
        <f>Q11</f>
        <v>337869.5</v>
      </c>
      <c r="R103" s="46"/>
      <c r="S103" s="110">
        <f>S11</f>
        <v>247834.75</v>
      </c>
      <c r="T103" s="46"/>
      <c r="U103" s="110"/>
      <c r="V103" s="1"/>
      <c r="W103" s="1"/>
      <c r="X103" s="90"/>
      <c r="Z103" s="36"/>
      <c r="AA103" s="36"/>
      <c r="AB103" s="36"/>
      <c r="AG103" s="36"/>
      <c r="AH103" s="36"/>
    </row>
    <row r="104" spans="1:38" s="17" customFormat="1" x14ac:dyDescent="0.2">
      <c r="A104" s="54"/>
      <c r="C104" s="2" t="s">
        <v>15</v>
      </c>
      <c r="D104" s="10"/>
      <c r="E104" s="3" t="s">
        <v>3</v>
      </c>
      <c r="G104" s="82">
        <f>SUM(I104:AG104)</f>
        <v>154028182.44</v>
      </c>
      <c r="I104" s="110">
        <f>+I12</f>
        <v>29874554.219999999</v>
      </c>
      <c r="J104" s="8"/>
      <c r="K104" s="110">
        <f>K12</f>
        <v>26093066.919999998</v>
      </c>
      <c r="L104" s="8"/>
      <c r="M104" s="110">
        <f>M12</f>
        <v>8919945</v>
      </c>
      <c r="N104" s="46"/>
      <c r="O104" s="110">
        <f>O12</f>
        <v>24124493.559999999</v>
      </c>
      <c r="P104" s="46"/>
      <c r="Q104" s="110">
        <f>Q12</f>
        <v>36066524.019999996</v>
      </c>
      <c r="R104" s="46"/>
      <c r="S104" s="110">
        <f>S12</f>
        <v>28949598.719999999</v>
      </c>
      <c r="T104" s="46"/>
      <c r="U104" s="110"/>
      <c r="V104" s="1"/>
      <c r="W104" s="1"/>
      <c r="X104" s="90"/>
      <c r="Z104" s="36"/>
      <c r="AA104" s="36"/>
      <c r="AB104" s="36"/>
      <c r="AG104" s="36"/>
      <c r="AH104" s="36"/>
    </row>
    <row r="105" spans="1:38" s="17" customFormat="1" x14ac:dyDescent="0.2">
      <c r="A105" s="54"/>
      <c r="C105" s="47" t="s">
        <v>16</v>
      </c>
      <c r="D105" s="10"/>
      <c r="E105" s="3"/>
      <c r="I105" s="1"/>
      <c r="J105" s="4"/>
      <c r="K105" s="1"/>
      <c r="L105" s="4"/>
      <c r="M105" s="1"/>
      <c r="N105" s="1"/>
      <c r="O105" s="1"/>
      <c r="P105" s="1"/>
      <c r="Q105" s="1"/>
      <c r="R105" s="1"/>
      <c r="S105" s="1"/>
      <c r="T105" s="1"/>
      <c r="U105" s="1"/>
      <c r="V105" s="1"/>
      <c r="W105" s="1"/>
      <c r="X105" s="90"/>
      <c r="Z105" s="36"/>
      <c r="AA105" s="36"/>
      <c r="AB105" s="36"/>
      <c r="AG105" s="36"/>
      <c r="AH105" s="36"/>
    </row>
    <row r="106" spans="1:38" s="17" customFormat="1" x14ac:dyDescent="0.2">
      <c r="A106" s="54"/>
      <c r="I106" s="55"/>
      <c r="M106" s="92"/>
      <c r="N106" s="90"/>
      <c r="P106" s="90"/>
      <c r="R106" s="90"/>
      <c r="T106" s="90"/>
      <c r="V106" s="90"/>
      <c r="W106" s="90"/>
      <c r="X106" s="90"/>
      <c r="Z106" s="36"/>
      <c r="AA106" s="36"/>
      <c r="AB106" s="36"/>
      <c r="AG106" s="36"/>
      <c r="AH106" s="36"/>
    </row>
    <row r="107" spans="1:38" s="17" customFormat="1" x14ac:dyDescent="0.2">
      <c r="A107" s="54"/>
      <c r="C107" s="2" t="s">
        <v>2</v>
      </c>
      <c r="D107" s="10"/>
      <c r="E107" s="14" t="s">
        <v>6</v>
      </c>
      <c r="F107" s="95"/>
      <c r="G107" s="99">
        <f>SUM(I107:AG107)</f>
        <v>0</v>
      </c>
      <c r="I107" s="279">
        <f>'Composite FY17'!I116-'[2]Composite FY15FINAL'!I107</f>
        <v>6.1999999999999833E-3</v>
      </c>
      <c r="J107" s="85"/>
      <c r="K107" s="279">
        <f>'Composite FY17'!K116-'[2]Composite FY15FINAL'!K107</f>
        <v>-8.0999999999999961E-3</v>
      </c>
      <c r="L107" s="85"/>
      <c r="M107" s="279">
        <f>'Composite FY17'!M116-'[2]Composite FY15FINAL'!M107</f>
        <v>4.2999999999999983E-3</v>
      </c>
      <c r="N107" s="88"/>
      <c r="O107" s="279">
        <f>'Composite FY17'!O116-'[2]Composite FY15FINAL'!O107</f>
        <v>-1.5999999999999903E-3</v>
      </c>
      <c r="P107" s="88"/>
      <c r="Q107" s="279">
        <f>'Composite FY17'!Q116-'[2]Composite FY15FINAL'!Q107</f>
        <v>5.0000000000000044E-4</v>
      </c>
      <c r="R107" s="88"/>
      <c r="S107" s="279">
        <f>'Composite FY17'!S116-'[2]Composite FY15FINAL'!S107</f>
        <v>-1.2999999999999956E-3</v>
      </c>
      <c r="T107" s="101"/>
      <c r="U107" s="99"/>
      <c r="V107" s="45"/>
      <c r="W107" s="99"/>
      <c r="X107" s="90"/>
      <c r="Y107" s="102"/>
      <c r="Z107" s="103"/>
      <c r="AA107" s="103"/>
      <c r="AB107" s="103"/>
      <c r="AG107" s="103"/>
      <c r="AH107" s="103"/>
      <c r="AI107" s="102"/>
      <c r="AJ107" s="102"/>
      <c r="AK107" s="102"/>
      <c r="AL107" s="102"/>
    </row>
    <row r="108" spans="1:38" s="17" customFormat="1" x14ac:dyDescent="0.2">
      <c r="A108" s="54"/>
      <c r="C108" s="3" t="s">
        <v>4</v>
      </c>
      <c r="D108" s="10"/>
      <c r="E108" s="14" t="s">
        <v>6</v>
      </c>
      <c r="F108" s="95"/>
      <c r="G108" s="99">
        <f>SUM(I108:AG108)</f>
        <v>-6.9388939039072284E-17</v>
      </c>
      <c r="I108" s="279">
        <f>'Composite FY17'!I117-'[2]Composite FY15FINAL'!I108</f>
        <v>-1.4000000000000679E-3</v>
      </c>
      <c r="J108" s="85"/>
      <c r="K108" s="279">
        <f>'Composite FY17'!K117-'[2]Composite FY15FINAL'!K108</f>
        <v>3.0999999999999917E-3</v>
      </c>
      <c r="L108" s="85"/>
      <c r="M108" s="279">
        <f>'Composite FY17'!M117-'[2]Composite FY15FINAL'!M108</f>
        <v>-6.0000000000000331E-4</v>
      </c>
      <c r="N108" s="88"/>
      <c r="O108" s="279">
        <f>'Composite FY17'!O117-'[2]Composite FY15FINAL'!O108</f>
        <v>-2.0000000000000573E-4</v>
      </c>
      <c r="P108" s="88"/>
      <c r="Q108" s="279">
        <f>'Composite FY17'!Q117-'[2]Composite FY15FINAL'!Q108</f>
        <v>1.9000000000000128E-3</v>
      </c>
      <c r="R108" s="88"/>
      <c r="S108" s="279">
        <f>'Composite FY17'!S117-'[2]Composite FY15FINAL'!S108</f>
        <v>-2.7999999999999969E-3</v>
      </c>
      <c r="T108" s="101"/>
      <c r="U108" s="99"/>
      <c r="V108" s="45"/>
      <c r="W108" s="99"/>
      <c r="X108" s="90"/>
      <c r="Z108" s="36"/>
      <c r="AA108" s="36"/>
      <c r="AB108" s="36"/>
      <c r="AG108" s="36"/>
      <c r="AH108" s="36"/>
    </row>
    <row r="109" spans="1:38" s="17" customFormat="1" x14ac:dyDescent="0.2">
      <c r="A109" s="54"/>
      <c r="C109" s="2" t="s">
        <v>7</v>
      </c>
      <c r="D109" s="10"/>
      <c r="E109" s="14" t="s">
        <v>6</v>
      </c>
      <c r="F109" s="95"/>
      <c r="G109" s="99">
        <f>SUM(I109:AG109)</f>
        <v>0</v>
      </c>
      <c r="I109" s="279">
        <f>'Composite FY17'!I118-'[2]Composite FY15FINAL'!I109</f>
        <v>7.0000000000000062E-3</v>
      </c>
      <c r="J109" s="85"/>
      <c r="K109" s="279">
        <f>'Composite FY17'!K118-'[2]Composite FY15FINAL'!K109</f>
        <v>9.5999999999999974E-3</v>
      </c>
      <c r="L109" s="85"/>
      <c r="M109" s="279">
        <f>'Composite FY17'!M118-'[2]Composite FY15FINAL'!M109</f>
        <v>-1.0000000000000286E-4</v>
      </c>
      <c r="N109" s="88"/>
      <c r="O109" s="279">
        <f>'Composite FY17'!O118-'[2]Composite FY15FINAL'!O109</f>
        <v>4.400000000000015E-3</v>
      </c>
      <c r="P109" s="88"/>
      <c r="Q109" s="279">
        <f>'Composite FY17'!Q118-'[2]Composite FY15FINAL'!Q109</f>
        <v>-5.0000000000000044E-3</v>
      </c>
      <c r="R109" s="88"/>
      <c r="S109" s="279">
        <f>'Composite FY17'!S118-'[2]Composite FY15FINAL'!S109</f>
        <v>-1.5899999999999997E-2</v>
      </c>
      <c r="T109" s="101"/>
      <c r="U109" s="99"/>
      <c r="V109" s="45"/>
      <c r="W109" s="99"/>
      <c r="X109" s="90"/>
      <c r="Z109" s="36"/>
      <c r="AA109" s="36"/>
      <c r="AB109" s="36"/>
      <c r="AG109" s="36"/>
      <c r="AH109" s="36"/>
    </row>
    <row r="110" spans="1:38" s="17" customFormat="1" x14ac:dyDescent="0.2">
      <c r="A110" s="54"/>
      <c r="C110" s="51"/>
      <c r="D110" s="10"/>
      <c r="E110" s="14"/>
      <c r="G110" s="91"/>
      <c r="I110" s="100"/>
      <c r="J110" s="100"/>
      <c r="K110" s="100"/>
      <c r="L110" s="100"/>
      <c r="M110" s="100"/>
      <c r="N110" s="101"/>
      <c r="O110" s="100"/>
      <c r="P110" s="101"/>
      <c r="Q110" s="100"/>
      <c r="R110" s="101"/>
      <c r="S110" s="100"/>
      <c r="T110" s="101"/>
      <c r="U110" s="100"/>
      <c r="V110" s="45"/>
      <c r="W110" s="88"/>
      <c r="X110" s="90"/>
      <c r="Z110" s="36"/>
      <c r="AA110" s="36"/>
      <c r="AB110" s="36"/>
      <c r="AG110" s="36"/>
      <c r="AH110" s="36"/>
    </row>
    <row r="111" spans="1:38" s="17" customFormat="1" x14ac:dyDescent="0.2">
      <c r="A111" s="54"/>
      <c r="C111" s="119" t="str">
        <f>C19</f>
        <v>Total Composite Factor for FY 2014</v>
      </c>
      <c r="D111" s="10"/>
      <c r="E111" s="14" t="s">
        <v>6</v>
      </c>
      <c r="G111" s="99">
        <f>SUM(I111:AG111)</f>
        <v>2.0816681711721685E-17</v>
      </c>
      <c r="I111" s="279">
        <f>'Composite FY17'!I120-'[2]Composite FY15FINAL'!I111</f>
        <v>3.9000000000000146E-3</v>
      </c>
      <c r="J111" s="85"/>
      <c r="K111" s="279">
        <f>'Composite FY17'!K120-'[2]Composite FY15FINAL'!K111</f>
        <v>1.5000000000000013E-3</v>
      </c>
      <c r="L111" s="85"/>
      <c r="M111" s="279">
        <f>'Composite FY17'!M120-'[2]Composite FY15FINAL'!M111</f>
        <v>1.1999999999999997E-3</v>
      </c>
      <c r="N111" s="88"/>
      <c r="O111" s="279">
        <f>'Composite FY17'!O120-'[2]Composite FY15FINAL'!O111</f>
        <v>9.000000000000119E-4</v>
      </c>
      <c r="P111" s="88"/>
      <c r="Q111" s="279">
        <f>'Composite FY17'!Q120-'[2]Composite FY15FINAL'!Q111</f>
        <v>-9.000000000000119E-4</v>
      </c>
      <c r="R111" s="88"/>
      <c r="S111" s="279">
        <f>'Composite FY17'!S120-'[2]Composite FY15FINAL'!S111</f>
        <v>-6.5999999999999948E-3</v>
      </c>
      <c r="T111" s="101"/>
      <c r="U111" s="99"/>
      <c r="V111" s="108"/>
      <c r="W111" s="99"/>
      <c r="X111" s="90"/>
      <c r="Z111" s="36"/>
      <c r="AA111" s="36"/>
      <c r="AB111" s="36"/>
      <c r="AG111" s="36"/>
      <c r="AH111" s="36"/>
    </row>
    <row r="112" spans="1:38" s="17" customFormat="1" x14ac:dyDescent="0.2">
      <c r="A112" s="54"/>
      <c r="C112" s="51"/>
      <c r="D112" s="10"/>
      <c r="E112" s="14"/>
      <c r="I112" s="56"/>
      <c r="N112" s="90"/>
      <c r="O112" s="91"/>
      <c r="P112" s="90"/>
      <c r="R112" s="90"/>
      <c r="T112" s="90"/>
      <c r="V112" s="90"/>
      <c r="X112" s="90"/>
      <c r="Z112" s="36"/>
      <c r="AA112" s="36"/>
      <c r="AB112" s="36"/>
      <c r="AG112" s="36"/>
      <c r="AH112" s="36"/>
    </row>
    <row r="113" spans="1:38" s="17" customFormat="1" x14ac:dyDescent="0.2">
      <c r="A113" s="54"/>
      <c r="C113" s="51"/>
      <c r="D113" s="10"/>
      <c r="E113" s="14"/>
      <c r="I113" s="56"/>
      <c r="N113" s="90"/>
      <c r="O113" s="91"/>
      <c r="P113" s="90"/>
      <c r="R113" s="90"/>
      <c r="T113" s="90"/>
      <c r="V113" s="90"/>
      <c r="X113" s="90"/>
      <c r="Z113" s="36"/>
      <c r="AA113" s="36"/>
      <c r="AB113" s="36"/>
      <c r="AG113" s="36"/>
      <c r="AH113" s="36"/>
    </row>
    <row r="114" spans="1:38" s="17" customFormat="1" ht="15.75" x14ac:dyDescent="0.25">
      <c r="A114" s="54"/>
      <c r="C114" s="51"/>
      <c r="D114" s="10"/>
      <c r="E114" s="14"/>
      <c r="I114" s="208" t="s">
        <v>158</v>
      </c>
      <c r="J114" s="209"/>
      <c r="K114" s="209" t="s">
        <v>159</v>
      </c>
      <c r="L114" s="209"/>
      <c r="M114" s="209" t="s">
        <v>160</v>
      </c>
      <c r="N114" s="209"/>
      <c r="O114" s="209" t="s">
        <v>160</v>
      </c>
      <c r="P114" s="209"/>
      <c r="Q114" s="209" t="s">
        <v>161</v>
      </c>
      <c r="R114" s="209"/>
      <c r="S114" s="210" t="s">
        <v>162</v>
      </c>
      <c r="T114" s="90"/>
      <c r="V114" s="90"/>
      <c r="X114" s="90"/>
      <c r="Z114" s="36"/>
      <c r="AA114" s="36"/>
      <c r="AB114" s="36"/>
      <c r="AG114" s="36"/>
      <c r="AH114" s="36"/>
    </row>
    <row r="115" spans="1:38" s="17" customFormat="1" x14ac:dyDescent="0.2">
      <c r="A115" s="54"/>
      <c r="C115" s="51"/>
      <c r="D115" s="10"/>
      <c r="E115" s="14"/>
      <c r="I115" s="56"/>
      <c r="N115" s="90"/>
      <c r="O115" s="91"/>
      <c r="P115" s="90"/>
      <c r="R115" s="90"/>
      <c r="T115" s="90"/>
      <c r="V115" s="90"/>
      <c r="X115" s="90"/>
      <c r="Z115" s="36"/>
      <c r="AA115" s="36"/>
      <c r="AB115" s="36"/>
      <c r="AG115" s="36"/>
      <c r="AH115" s="36"/>
    </row>
    <row r="116" spans="1:38" s="17" customFormat="1" x14ac:dyDescent="0.2">
      <c r="A116" s="54"/>
      <c r="C116" s="51"/>
      <c r="D116" s="10"/>
      <c r="E116" s="14"/>
      <c r="I116" s="56"/>
      <c r="N116" s="90"/>
      <c r="O116" s="91"/>
      <c r="P116" s="90"/>
      <c r="R116" s="90"/>
      <c r="T116" s="90"/>
      <c r="V116" s="90"/>
      <c r="X116" s="90"/>
      <c r="Z116" s="36"/>
      <c r="AA116" s="36"/>
      <c r="AB116" s="36"/>
      <c r="AG116" s="36"/>
      <c r="AH116" s="36"/>
    </row>
    <row r="117" spans="1:38" s="17" customFormat="1" x14ac:dyDescent="0.2">
      <c r="A117" s="54"/>
      <c r="C117" s="51"/>
      <c r="D117" s="10"/>
      <c r="E117" s="14"/>
      <c r="I117" s="56"/>
      <c r="N117" s="90"/>
      <c r="O117" s="91"/>
      <c r="P117" s="90"/>
      <c r="R117" s="90"/>
      <c r="T117" s="90"/>
      <c r="V117" s="90"/>
      <c r="X117" s="90"/>
      <c r="Z117" s="36"/>
      <c r="AA117" s="36"/>
      <c r="AB117" s="36"/>
      <c r="AG117" s="36"/>
      <c r="AH117" s="36"/>
    </row>
    <row r="118" spans="1:38" s="17" customFormat="1" x14ac:dyDescent="0.2">
      <c r="A118" s="54"/>
      <c r="C118" s="51"/>
      <c r="D118" s="10"/>
      <c r="E118" s="14"/>
      <c r="I118" s="56"/>
      <c r="N118" s="90"/>
      <c r="O118" s="91"/>
      <c r="P118" s="90"/>
      <c r="R118" s="90"/>
      <c r="T118" s="90"/>
      <c r="V118" s="90"/>
      <c r="X118" s="90"/>
      <c r="Z118" s="36"/>
      <c r="AA118" s="36"/>
      <c r="AB118" s="36"/>
      <c r="AG118" s="36"/>
      <c r="AH118" s="36"/>
    </row>
    <row r="119" spans="1:38" s="17" customFormat="1" x14ac:dyDescent="0.2">
      <c r="A119" s="54"/>
      <c r="C119" s="51"/>
      <c r="D119" s="10"/>
      <c r="E119" s="14"/>
      <c r="I119" s="56"/>
      <c r="N119" s="90"/>
      <c r="O119" s="91"/>
      <c r="P119" s="90"/>
      <c r="R119" s="90"/>
      <c r="T119" s="90"/>
      <c r="V119" s="90"/>
      <c r="X119" s="90"/>
      <c r="Z119" s="36"/>
      <c r="AA119" s="36"/>
      <c r="AB119" s="36"/>
      <c r="AG119" s="36"/>
      <c r="AH119" s="36"/>
    </row>
    <row r="120" spans="1:38" s="17" customFormat="1" x14ac:dyDescent="0.2">
      <c r="A120" s="54"/>
      <c r="C120" s="51"/>
      <c r="D120" s="10"/>
      <c r="E120" s="14"/>
      <c r="I120" s="56"/>
      <c r="N120" s="90"/>
      <c r="O120" s="91"/>
      <c r="P120" s="90"/>
      <c r="R120" s="90"/>
      <c r="T120" s="90"/>
      <c r="V120" s="90"/>
      <c r="X120" s="90"/>
      <c r="Z120" s="36"/>
      <c r="AA120" s="36"/>
      <c r="AB120" s="36"/>
      <c r="AG120" s="36"/>
      <c r="AH120" s="36"/>
    </row>
    <row r="121" spans="1:38" s="17" customFormat="1" x14ac:dyDescent="0.2">
      <c r="A121" s="54"/>
      <c r="C121" s="51"/>
      <c r="D121" s="10"/>
      <c r="E121" s="14"/>
      <c r="I121" s="56"/>
      <c r="N121" s="90"/>
      <c r="O121" s="91"/>
      <c r="P121" s="90"/>
      <c r="R121" s="90"/>
      <c r="T121" s="90"/>
      <c r="V121" s="90"/>
      <c r="X121" s="90"/>
      <c r="Z121" s="36"/>
      <c r="AA121" s="36"/>
      <c r="AB121" s="36"/>
      <c r="AG121" s="36"/>
      <c r="AH121" s="36"/>
    </row>
    <row r="122" spans="1:38" s="17" customFormat="1" x14ac:dyDescent="0.2">
      <c r="A122" s="54"/>
      <c r="C122" s="51"/>
      <c r="D122" s="10"/>
      <c r="E122" s="14"/>
      <c r="I122" s="56"/>
      <c r="N122" s="90"/>
      <c r="O122" s="91"/>
      <c r="P122" s="90"/>
      <c r="R122" s="90"/>
      <c r="T122" s="90"/>
      <c r="V122" s="90"/>
      <c r="X122" s="90"/>
      <c r="Z122" s="36"/>
      <c r="AA122" s="36"/>
      <c r="AB122" s="36"/>
      <c r="AG122" s="36"/>
      <c r="AH122" s="36"/>
    </row>
    <row r="123" spans="1:38" s="17" customFormat="1" x14ac:dyDescent="0.2">
      <c r="A123" s="54"/>
      <c r="C123" s="51"/>
      <c r="D123" s="10"/>
      <c r="E123" s="14"/>
      <c r="I123" s="56"/>
      <c r="N123" s="90"/>
      <c r="O123" s="91"/>
      <c r="P123" s="90"/>
      <c r="R123" s="90"/>
      <c r="T123" s="90"/>
      <c r="V123" s="90"/>
      <c r="X123" s="90"/>
      <c r="Z123" s="36"/>
      <c r="AA123" s="36"/>
      <c r="AB123" s="36"/>
      <c r="AG123" s="36"/>
      <c r="AH123" s="36"/>
    </row>
    <row r="124" spans="1:38" s="17" customFormat="1" x14ac:dyDescent="0.2">
      <c r="A124" s="54"/>
      <c r="C124" s="51"/>
      <c r="D124" s="10"/>
      <c r="E124" s="14"/>
      <c r="I124" s="56"/>
      <c r="N124" s="90"/>
      <c r="O124" s="91"/>
      <c r="P124" s="90"/>
      <c r="R124" s="90"/>
      <c r="T124" s="90"/>
      <c r="V124" s="90"/>
      <c r="X124" s="90"/>
      <c r="Z124" s="36"/>
      <c r="AA124" s="36"/>
      <c r="AB124" s="36"/>
      <c r="AG124" s="36"/>
      <c r="AH124" s="36"/>
    </row>
    <row r="126" spans="1:38" s="14" customFormat="1" x14ac:dyDescent="0.2">
      <c r="A126" s="19"/>
      <c r="C126" s="96" t="s">
        <v>96</v>
      </c>
      <c r="D126" s="10"/>
      <c r="G126" s="15"/>
      <c r="H126" s="15"/>
      <c r="X126" s="15"/>
      <c r="Y126" s="15"/>
      <c r="Z126" s="16"/>
      <c r="AA126" s="15"/>
      <c r="AB126" s="15"/>
      <c r="AC126" s="15"/>
      <c r="AD126" s="15"/>
      <c r="AG126" s="16"/>
      <c r="AH126" s="16"/>
      <c r="AI126" s="15"/>
      <c r="AJ126" s="15"/>
      <c r="AK126" s="15"/>
      <c r="AL126" s="15"/>
    </row>
    <row r="127" spans="1:38" s="17" customFormat="1" x14ac:dyDescent="0.2">
      <c r="A127" s="54"/>
      <c r="I127" s="55"/>
      <c r="M127" s="92"/>
      <c r="N127" s="90"/>
      <c r="P127" s="90"/>
      <c r="R127" s="90"/>
      <c r="T127" s="90"/>
      <c r="V127" s="90"/>
      <c r="X127" s="90"/>
      <c r="Z127" s="36"/>
      <c r="AA127" s="36"/>
      <c r="AB127" s="36"/>
      <c r="AG127" s="36"/>
      <c r="AH127" s="36"/>
    </row>
    <row r="128" spans="1:38" s="17" customFormat="1" x14ac:dyDescent="0.2">
      <c r="A128" s="54"/>
      <c r="C128" s="2" t="s">
        <v>2</v>
      </c>
      <c r="D128" s="10"/>
      <c r="E128" s="3" t="s">
        <v>3</v>
      </c>
      <c r="G128" s="82">
        <f>SUM(I128:AG128)</f>
        <v>6297261501.4799995</v>
      </c>
      <c r="I128" s="110">
        <f>I10</f>
        <v>652745151.35000002</v>
      </c>
      <c r="J128" s="8"/>
      <c r="K128" s="110"/>
      <c r="L128" s="8"/>
      <c r="M128" s="110"/>
      <c r="N128" s="46"/>
      <c r="O128" s="110"/>
      <c r="P128" s="46"/>
      <c r="Q128" s="110"/>
      <c r="R128" s="46"/>
      <c r="S128" s="110"/>
      <c r="T128" s="46"/>
      <c r="U128" s="110">
        <f>U10</f>
        <v>3663720621.48</v>
      </c>
      <c r="V128" s="45"/>
      <c r="W128" s="110">
        <f>W10</f>
        <v>1980795728.6500001</v>
      </c>
      <c r="X128" s="90"/>
      <c r="Z128" s="36"/>
      <c r="AA128" s="36"/>
      <c r="AB128" s="36"/>
      <c r="AG128" s="36"/>
      <c r="AH128" s="36"/>
    </row>
    <row r="129" spans="1:61" s="17" customFormat="1" x14ac:dyDescent="0.2">
      <c r="A129" s="54"/>
      <c r="C129" s="3" t="s">
        <v>4</v>
      </c>
      <c r="D129" s="10"/>
      <c r="E129" s="3" t="s">
        <v>5</v>
      </c>
      <c r="G129" s="83">
        <f>SUM(I129:AG129)</f>
        <v>1907534.25</v>
      </c>
      <c r="I129" s="110">
        <f>I11</f>
        <v>299655.58333333331</v>
      </c>
      <c r="J129" s="8"/>
      <c r="K129" s="110"/>
      <c r="L129" s="8"/>
      <c r="M129" s="110"/>
      <c r="N129" s="46"/>
      <c r="O129" s="110"/>
      <c r="P129" s="46"/>
      <c r="Q129" s="110"/>
      <c r="R129" s="46"/>
      <c r="S129" s="110"/>
      <c r="T129" s="46"/>
      <c r="U129" s="110">
        <f>U11</f>
        <v>1607562.9166666667</v>
      </c>
      <c r="V129" s="45"/>
      <c r="W129" s="110">
        <f>W11</f>
        <v>315.75</v>
      </c>
      <c r="X129" s="90"/>
      <c r="Z129" s="36"/>
      <c r="AA129" s="36"/>
      <c r="AB129" s="36"/>
      <c r="AG129" s="36"/>
      <c r="AH129" s="36"/>
    </row>
    <row r="130" spans="1:61" s="17" customFormat="1" x14ac:dyDescent="0.2">
      <c r="A130" s="54"/>
      <c r="C130" s="2" t="s">
        <v>15</v>
      </c>
      <c r="D130" s="10"/>
      <c r="E130" s="3" t="s">
        <v>3</v>
      </c>
      <c r="G130" s="82">
        <f>SUM(I130:AG130)</f>
        <v>248319309.19</v>
      </c>
      <c r="I130" s="110">
        <f>I12</f>
        <v>29874554.219999999</v>
      </c>
      <c r="J130" s="8"/>
      <c r="K130" s="110"/>
      <c r="L130" s="8"/>
      <c r="M130" s="110"/>
      <c r="N130" s="46"/>
      <c r="O130" s="110"/>
      <c r="P130" s="46"/>
      <c r="Q130" s="110"/>
      <c r="R130" s="46"/>
      <c r="S130" s="110"/>
      <c r="T130" s="46"/>
      <c r="U130" s="110">
        <f>U12</f>
        <v>111747643.95999999</v>
      </c>
      <c r="V130" s="45"/>
      <c r="W130" s="110">
        <f>W12</f>
        <v>106697111.01000001</v>
      </c>
      <c r="X130" s="90"/>
      <c r="Z130" s="36"/>
      <c r="AA130" s="36"/>
      <c r="AB130" s="36"/>
      <c r="AG130" s="36"/>
      <c r="AH130" s="36"/>
    </row>
    <row r="131" spans="1:61" s="17" customFormat="1" x14ac:dyDescent="0.2">
      <c r="A131" s="54"/>
      <c r="C131" s="47" t="s">
        <v>16</v>
      </c>
      <c r="D131" s="10"/>
      <c r="E131" s="3"/>
      <c r="I131" s="1"/>
      <c r="J131" s="4"/>
      <c r="K131" s="1"/>
      <c r="L131" s="4"/>
      <c r="M131" s="1"/>
      <c r="N131" s="1"/>
      <c r="O131" s="1"/>
      <c r="P131" s="1"/>
      <c r="Q131" s="1"/>
      <c r="R131" s="1"/>
      <c r="S131" s="1"/>
      <c r="T131" s="1"/>
      <c r="U131" s="1"/>
      <c r="V131" s="45"/>
      <c r="W131" s="18"/>
      <c r="X131" s="90"/>
      <c r="Z131" s="36"/>
      <c r="AA131" s="36"/>
      <c r="AB131" s="36"/>
      <c r="AG131" s="36"/>
      <c r="AH131" s="36"/>
    </row>
    <row r="132" spans="1:61" s="17" customFormat="1" x14ac:dyDescent="0.2">
      <c r="A132" s="54"/>
      <c r="I132" s="55"/>
      <c r="M132" s="92"/>
      <c r="N132" s="90"/>
      <c r="P132" s="90"/>
      <c r="R132" s="90"/>
      <c r="T132" s="90"/>
      <c r="V132" s="45"/>
      <c r="W132" s="5"/>
      <c r="X132" s="90"/>
      <c r="Z132" s="36"/>
      <c r="AA132" s="36"/>
      <c r="AB132" s="36"/>
      <c r="AG132" s="36"/>
      <c r="AH132" s="36"/>
    </row>
    <row r="133" spans="1:61" s="17" customFormat="1" x14ac:dyDescent="0.2">
      <c r="A133" s="54"/>
      <c r="C133" s="2" t="s">
        <v>2</v>
      </c>
      <c r="D133" s="10"/>
      <c r="E133" s="14" t="s">
        <v>6</v>
      </c>
      <c r="F133" s="95"/>
      <c r="G133" s="99">
        <f>SUM(I133:AG133)</f>
        <v>5.5511151231257827E-17</v>
      </c>
      <c r="I133" s="279">
        <f>'Composite FY17'!I142-'[2]Composite FY15FINAL'!I133</f>
        <v>-4.2999999999998595E-3</v>
      </c>
      <c r="J133" s="100"/>
      <c r="K133" s="99"/>
      <c r="L133" s="100"/>
      <c r="M133" s="99"/>
      <c r="N133" s="101"/>
      <c r="O133" s="99"/>
      <c r="P133" s="101"/>
      <c r="Q133" s="99"/>
      <c r="R133" s="101"/>
      <c r="S133" s="99"/>
      <c r="T133" s="101"/>
      <c r="U133" s="279">
        <f>'Composite FY17'!U142-'[2]Composite FY15FINAL'!U133</f>
        <v>-4.3000000000000038E-2</v>
      </c>
      <c r="V133" s="88"/>
      <c r="W133" s="279">
        <f>'Composite FY17'!W142-'[2]Composite FY15FINAL'!W133</f>
        <v>4.7299999999999953E-2</v>
      </c>
      <c r="X133" s="90"/>
      <c r="Y133" s="102"/>
      <c r="Z133" s="103"/>
      <c r="AA133" s="103"/>
      <c r="AB133" s="103"/>
      <c r="AG133" s="103"/>
      <c r="AH133" s="103"/>
      <c r="AI133" s="102"/>
      <c r="AJ133" s="102"/>
      <c r="AK133" s="102"/>
      <c r="AL133" s="102"/>
    </row>
    <row r="134" spans="1:61" s="17" customFormat="1" x14ac:dyDescent="0.2">
      <c r="A134" s="54"/>
      <c r="C134" s="3" t="s">
        <v>4</v>
      </c>
      <c r="D134" s="10"/>
      <c r="E134" s="14" t="s">
        <v>6</v>
      </c>
      <c r="F134" s="95"/>
      <c r="G134" s="99">
        <f>SUM(I134:AG134)</f>
        <v>0</v>
      </c>
      <c r="I134" s="279">
        <f>'Composite FY17'!I143-'[2]Composite FY15FINAL'!I134</f>
        <v>-1.5000000000000568E-3</v>
      </c>
      <c r="J134" s="100"/>
      <c r="K134" s="99"/>
      <c r="L134" s="100"/>
      <c r="M134" s="99"/>
      <c r="N134" s="101"/>
      <c r="O134" s="99"/>
      <c r="P134" s="101"/>
      <c r="Q134" s="99"/>
      <c r="R134" s="101"/>
      <c r="S134" s="99"/>
      <c r="T134" s="101"/>
      <c r="U134" s="279">
        <f>'Composite FY17'!U143-'[2]Composite FY15FINAL'!U134</f>
        <v>1.5000000000000568E-3</v>
      </c>
      <c r="V134" s="88"/>
      <c r="W134" s="279">
        <f>'Composite FY17'!W143-'[2]Composite FY15FINAL'!W134</f>
        <v>0</v>
      </c>
      <c r="X134" s="90"/>
      <c r="Z134" s="36"/>
      <c r="AA134" s="36"/>
      <c r="AB134" s="36"/>
      <c r="AG134" s="36"/>
      <c r="AH134" s="36"/>
    </row>
    <row r="135" spans="1:61" s="17" customFormat="1" x14ac:dyDescent="0.2">
      <c r="A135" s="54"/>
      <c r="C135" s="2" t="s">
        <v>7</v>
      </c>
      <c r="D135" s="10"/>
      <c r="E135" s="14" t="s">
        <v>6</v>
      </c>
      <c r="F135" s="95"/>
      <c r="G135" s="99">
        <f>SUM(I135:AG135)</f>
        <v>1.1102230246251565E-16</v>
      </c>
      <c r="I135" s="279">
        <f>'Composite FY17'!I144-'[2]Composite FY15FINAL'!I135</f>
        <v>-1.7299999999999871E-2</v>
      </c>
      <c r="J135" s="100"/>
      <c r="K135" s="99"/>
      <c r="L135" s="100"/>
      <c r="M135" s="99"/>
      <c r="N135" s="101"/>
      <c r="O135" s="99"/>
      <c r="P135" s="101"/>
      <c r="Q135" s="99"/>
      <c r="R135" s="101"/>
      <c r="S135" s="99"/>
      <c r="T135" s="101"/>
      <c r="U135" s="279">
        <f>'Composite FY17'!U144-'[2]Composite FY15FINAL'!U135</f>
        <v>-4.830000000000001E-2</v>
      </c>
      <c r="V135" s="88"/>
      <c r="W135" s="279">
        <f>'Composite FY17'!W144-'[2]Composite FY15FINAL'!W135</f>
        <v>6.5599999999999992E-2</v>
      </c>
      <c r="X135" s="90"/>
      <c r="Z135" s="36"/>
      <c r="AA135" s="36"/>
      <c r="AB135" s="36"/>
      <c r="AG135" s="36"/>
      <c r="AH135" s="36"/>
    </row>
    <row r="136" spans="1:61" s="17" customFormat="1" x14ac:dyDescent="0.2">
      <c r="A136" s="54"/>
      <c r="C136" s="51"/>
      <c r="D136" s="10"/>
      <c r="E136" s="14"/>
      <c r="G136" s="91"/>
      <c r="I136" s="100"/>
      <c r="J136" s="100"/>
      <c r="K136" s="100"/>
      <c r="L136" s="100"/>
      <c r="M136" s="100"/>
      <c r="N136" s="101"/>
      <c r="O136" s="100"/>
      <c r="P136" s="101"/>
      <c r="Q136" s="100"/>
      <c r="R136" s="101"/>
      <c r="S136" s="100"/>
      <c r="T136" s="101"/>
      <c r="U136" s="100"/>
      <c r="V136" s="45"/>
      <c r="W136" s="88"/>
      <c r="X136" s="90"/>
      <c r="Z136" s="36"/>
      <c r="AA136" s="36"/>
      <c r="AB136" s="36"/>
      <c r="AG136" s="36"/>
      <c r="AH136" s="36"/>
    </row>
    <row r="137" spans="1:61" s="17" customFormat="1" x14ac:dyDescent="0.2">
      <c r="A137" s="54"/>
      <c r="C137" s="119" t="str">
        <f>C19</f>
        <v>Total Composite Factor for FY 2014</v>
      </c>
      <c r="D137" s="10"/>
      <c r="E137" s="14" t="s">
        <v>6</v>
      </c>
      <c r="G137" s="99">
        <f>SUM(I137:AG137)</f>
        <v>5.5511151231257827E-17</v>
      </c>
      <c r="I137" s="279">
        <f>'Composite FY17'!I146-'[2]Composite FY15FINAL'!I137</f>
        <v>-7.7999999999999181E-3</v>
      </c>
      <c r="J137" s="234"/>
      <c r="K137" s="233"/>
      <c r="L137" s="234"/>
      <c r="M137" s="233"/>
      <c r="N137" s="235"/>
      <c r="O137" s="233"/>
      <c r="P137" s="235"/>
      <c r="Q137" s="233"/>
      <c r="R137" s="235"/>
      <c r="S137" s="233"/>
      <c r="T137" s="235"/>
      <c r="U137" s="279">
        <f>'Composite FY17'!U146-'[2]Composite FY15FINAL'!U137</f>
        <v>-2.9900000000000038E-2</v>
      </c>
      <c r="V137" s="88"/>
      <c r="W137" s="279">
        <f>'Composite FY17'!W146-'[2]Composite FY15FINAL'!W137</f>
        <v>3.7700000000000011E-2</v>
      </c>
      <c r="X137" s="90"/>
      <c r="Z137" s="36"/>
      <c r="AA137" s="36"/>
      <c r="AB137" s="36"/>
      <c r="AG137" s="36"/>
      <c r="AH137" s="36"/>
    </row>
    <row r="138" spans="1:61" s="17" customFormat="1" ht="15.75" x14ac:dyDescent="0.25">
      <c r="A138" s="54"/>
      <c r="C138" s="51"/>
      <c r="D138" s="10"/>
      <c r="E138" s="14"/>
      <c r="I138" s="228" t="s">
        <v>163</v>
      </c>
      <c r="J138" s="229"/>
      <c r="K138" s="229"/>
      <c r="L138" s="229"/>
      <c r="M138" s="229"/>
      <c r="N138" s="229"/>
      <c r="O138" s="229"/>
      <c r="P138" s="229"/>
      <c r="Q138" s="229"/>
      <c r="R138" s="229"/>
      <c r="S138" s="230"/>
      <c r="T138" s="229"/>
      <c r="U138" s="230" t="s">
        <v>164</v>
      </c>
      <c r="V138" s="245"/>
      <c r="W138" s="245" t="s">
        <v>165</v>
      </c>
      <c r="X138" s="90"/>
      <c r="Z138" s="36"/>
      <c r="AA138" s="36"/>
      <c r="AB138" s="36"/>
      <c r="AG138" s="36"/>
      <c r="AH138" s="36"/>
    </row>
    <row r="141" spans="1:61" s="6" customFormat="1" x14ac:dyDescent="0.2">
      <c r="A141" s="40"/>
      <c r="C141" s="131" t="s">
        <v>166</v>
      </c>
      <c r="V141" s="20"/>
      <c r="X141" s="20"/>
    </row>
    <row r="142" spans="1:61" s="6" customFormat="1" ht="25.5" x14ac:dyDescent="0.2">
      <c r="A142" s="42"/>
      <c r="B142" s="43"/>
      <c r="C142" s="44"/>
      <c r="E142" s="20"/>
      <c r="G142" s="7" t="s">
        <v>1</v>
      </c>
      <c r="I142" s="81" t="s">
        <v>13</v>
      </c>
      <c r="K142" s="7" t="s">
        <v>10</v>
      </c>
      <c r="M142" s="7" t="s">
        <v>11</v>
      </c>
      <c r="N142" s="20"/>
      <c r="O142" s="7" t="s">
        <v>12</v>
      </c>
      <c r="P142" s="20"/>
      <c r="Q142" s="109" t="s">
        <v>82</v>
      </c>
      <c r="R142" s="20"/>
      <c r="S142" s="7" t="s">
        <v>81</v>
      </c>
      <c r="T142" s="20"/>
      <c r="U142" s="7" t="s">
        <v>14</v>
      </c>
      <c r="V142" s="20"/>
      <c r="W142" s="134"/>
      <c r="X142" s="20"/>
      <c r="Y142" s="20"/>
      <c r="Z142" s="20"/>
      <c r="AA142" s="134"/>
      <c r="AB142" s="134"/>
      <c r="AC142" s="134"/>
      <c r="AD142" s="134"/>
      <c r="AE142" s="20"/>
      <c r="AF142" s="20"/>
      <c r="AG142" s="20"/>
      <c r="AH142" s="20"/>
      <c r="AI142" s="134"/>
      <c r="AJ142" s="134"/>
      <c r="AK142" s="134"/>
      <c r="AL142" s="134"/>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row>
    <row r="143" spans="1:61" x14ac:dyDescent="0.2">
      <c r="G143" s="45"/>
      <c r="H143" s="45"/>
      <c r="I143" s="46"/>
      <c r="W143" s="45"/>
      <c r="Y143" s="45"/>
      <c r="Z143" s="114"/>
      <c r="AA143" s="114"/>
      <c r="AB143" s="114"/>
      <c r="AC143" s="45"/>
      <c r="AD143" s="45"/>
      <c r="AE143" s="45"/>
      <c r="AF143" s="45"/>
      <c r="AG143" s="114"/>
      <c r="AH143" s="114"/>
      <c r="AI143" s="45"/>
      <c r="AJ143" s="45"/>
      <c r="AK143" s="45"/>
      <c r="AL143" s="45"/>
      <c r="AM143" s="45"/>
      <c r="AN143" s="45"/>
      <c r="AO143" s="45"/>
      <c r="AP143" s="45"/>
      <c r="AQ143" s="45"/>
      <c r="AR143" s="45"/>
      <c r="AS143" s="45"/>
      <c r="AT143" s="45"/>
      <c r="AU143" s="45"/>
      <c r="AV143" s="45"/>
      <c r="AW143" s="45"/>
      <c r="AX143" s="45"/>
      <c r="AY143" s="45"/>
      <c r="AZ143" s="45"/>
      <c r="BA143" s="45"/>
      <c r="BB143" s="45"/>
      <c r="BC143" s="45"/>
      <c r="BD143" s="45"/>
      <c r="BE143" s="45"/>
      <c r="BF143" s="45"/>
      <c r="BG143" s="45"/>
      <c r="BH143" s="45"/>
      <c r="BI143" s="45"/>
    </row>
    <row r="144" spans="1:61" s="3" customFormat="1" x14ac:dyDescent="0.2">
      <c r="A144" s="19"/>
      <c r="C144" s="2" t="s">
        <v>2</v>
      </c>
      <c r="D144" s="10"/>
      <c r="E144" s="3" t="s">
        <v>3</v>
      </c>
      <c r="G144" s="82">
        <f>SUM(I144:AG144)</f>
        <v>4316465772.8299999</v>
      </c>
      <c r="H144" s="46"/>
      <c r="I144" s="110">
        <f>I10</f>
        <v>652745151.35000002</v>
      </c>
      <c r="J144" s="8"/>
      <c r="K144" s="110"/>
      <c r="L144" s="8"/>
      <c r="M144" s="110"/>
      <c r="N144" s="46"/>
      <c r="O144" s="110"/>
      <c r="P144" s="46"/>
      <c r="Q144" s="110"/>
      <c r="R144" s="46"/>
      <c r="S144" s="110"/>
      <c r="T144" s="46"/>
      <c r="U144" s="110">
        <f>U10</f>
        <v>3663720621.48</v>
      </c>
      <c r="V144" s="46"/>
      <c r="W144" s="46"/>
      <c r="X144" s="46"/>
      <c r="Y144" s="46"/>
      <c r="Z144" s="46"/>
      <c r="AA144" s="46"/>
      <c r="AB144" s="46"/>
      <c r="AC144" s="46"/>
      <c r="AD144" s="46"/>
      <c r="AE144" s="94"/>
      <c r="AF144" s="94"/>
      <c r="AG144" s="46"/>
      <c r="AH144" s="46"/>
      <c r="AI144" s="46"/>
      <c r="AJ144" s="46"/>
      <c r="AK144" s="46"/>
      <c r="AL144" s="46"/>
      <c r="AM144" s="94"/>
      <c r="AN144" s="94"/>
      <c r="AO144" s="94"/>
      <c r="AP144" s="94"/>
      <c r="AQ144" s="94"/>
      <c r="AR144" s="94"/>
      <c r="AS144" s="94"/>
      <c r="AT144" s="94"/>
      <c r="AU144" s="94"/>
      <c r="AV144" s="94"/>
      <c r="AW144" s="94"/>
      <c r="AX144" s="94"/>
      <c r="AY144" s="94"/>
      <c r="AZ144" s="94"/>
      <c r="BA144" s="94"/>
      <c r="BB144" s="94"/>
      <c r="BC144" s="94"/>
      <c r="BD144" s="94"/>
      <c r="BE144" s="94"/>
      <c r="BF144" s="94"/>
      <c r="BG144" s="94"/>
      <c r="BH144" s="94"/>
      <c r="BI144" s="94"/>
    </row>
    <row r="145" spans="1:61" s="3" customFormat="1" x14ac:dyDescent="0.2">
      <c r="A145" s="19"/>
      <c r="C145" s="3" t="s">
        <v>4</v>
      </c>
      <c r="D145" s="10"/>
      <c r="E145" s="3" t="s">
        <v>5</v>
      </c>
      <c r="G145" s="83">
        <f>SUM(I145:AG145)</f>
        <v>1907218.5</v>
      </c>
      <c r="H145" s="46"/>
      <c r="I145" s="111">
        <f>I11</f>
        <v>299655.58333333331</v>
      </c>
      <c r="J145" s="8"/>
      <c r="K145" s="110"/>
      <c r="L145" s="8"/>
      <c r="M145" s="110"/>
      <c r="N145" s="46"/>
      <c r="O145" s="110"/>
      <c r="P145" s="46"/>
      <c r="Q145" s="110"/>
      <c r="R145" s="46"/>
      <c r="S145" s="110"/>
      <c r="T145" s="46"/>
      <c r="U145" s="110">
        <f>U11</f>
        <v>1607562.9166666667</v>
      </c>
      <c r="V145" s="46"/>
      <c r="W145" s="46"/>
      <c r="X145" s="46"/>
      <c r="Y145" s="46"/>
      <c r="Z145" s="46"/>
      <c r="AA145" s="46"/>
      <c r="AB145" s="46"/>
      <c r="AC145" s="46"/>
      <c r="AD145" s="46"/>
      <c r="AE145" s="94"/>
      <c r="AF145" s="94"/>
      <c r="AG145" s="46"/>
      <c r="AH145" s="46"/>
      <c r="AI145" s="46"/>
      <c r="AJ145" s="46"/>
      <c r="AK145" s="46"/>
      <c r="AL145" s="46"/>
      <c r="AM145" s="94"/>
      <c r="AN145" s="94"/>
      <c r="AO145" s="94"/>
      <c r="AP145" s="94"/>
      <c r="AQ145" s="94"/>
      <c r="AR145" s="94"/>
      <c r="AS145" s="94"/>
      <c r="AT145" s="94"/>
      <c r="AU145" s="94"/>
      <c r="AV145" s="94"/>
      <c r="AW145" s="94"/>
      <c r="AX145" s="94"/>
      <c r="AY145" s="94"/>
      <c r="AZ145" s="94"/>
      <c r="BA145" s="94"/>
      <c r="BB145" s="94"/>
      <c r="BC145" s="94"/>
      <c r="BD145" s="94"/>
      <c r="BE145" s="94"/>
      <c r="BF145" s="94"/>
      <c r="BG145" s="94"/>
      <c r="BH145" s="94"/>
      <c r="BI145" s="94"/>
    </row>
    <row r="146" spans="1:61" s="3" customFormat="1" x14ac:dyDescent="0.2">
      <c r="A146" s="19"/>
      <c r="C146" s="2" t="s">
        <v>15</v>
      </c>
      <c r="D146" s="10"/>
      <c r="E146" s="3" t="s">
        <v>3</v>
      </c>
      <c r="G146" s="82">
        <f>SUM(I146:AG146)</f>
        <v>141622198.18000001</v>
      </c>
      <c r="H146" s="46"/>
      <c r="I146" s="111">
        <f>I12</f>
        <v>29874554.219999999</v>
      </c>
      <c r="J146" s="8"/>
      <c r="K146" s="110"/>
      <c r="L146" s="8"/>
      <c r="M146" s="111"/>
      <c r="N146" s="46"/>
      <c r="O146" s="111"/>
      <c r="P146" s="46"/>
      <c r="Q146" s="110"/>
      <c r="R146" s="46"/>
      <c r="S146" s="110"/>
      <c r="T146" s="46"/>
      <c r="U146" s="110">
        <f>U12</f>
        <v>111747643.95999999</v>
      </c>
      <c r="V146" s="46"/>
      <c r="W146" s="46"/>
      <c r="X146" s="46"/>
      <c r="Y146" s="46"/>
      <c r="Z146" s="46"/>
      <c r="AA146" s="46"/>
      <c r="AB146" s="46"/>
      <c r="AC146" s="46"/>
      <c r="AD146" s="46"/>
      <c r="AE146" s="94"/>
      <c r="AF146" s="94"/>
      <c r="AG146" s="46"/>
      <c r="AH146" s="46"/>
      <c r="AI146" s="46"/>
      <c r="AJ146" s="46"/>
      <c r="AK146" s="46"/>
      <c r="AL146" s="46"/>
      <c r="AM146" s="94"/>
      <c r="AN146" s="94"/>
      <c r="AO146" s="94"/>
      <c r="AP146" s="94"/>
      <c r="AQ146" s="94"/>
      <c r="AR146" s="94"/>
      <c r="AS146" s="94"/>
      <c r="AT146" s="94"/>
      <c r="AU146" s="94"/>
      <c r="AV146" s="94"/>
      <c r="AW146" s="94"/>
      <c r="AX146" s="94"/>
      <c r="AY146" s="94"/>
      <c r="AZ146" s="94"/>
      <c r="BA146" s="94"/>
      <c r="BB146" s="94"/>
      <c r="BC146" s="94"/>
      <c r="BD146" s="94"/>
      <c r="BE146" s="94"/>
      <c r="BF146" s="94"/>
      <c r="BG146" s="94"/>
      <c r="BH146" s="94"/>
      <c r="BI146" s="94"/>
    </row>
    <row r="147" spans="1:61" s="3" customFormat="1" x14ac:dyDescent="0.2">
      <c r="A147" s="19"/>
      <c r="C147" s="47" t="s">
        <v>16</v>
      </c>
      <c r="D147" s="10"/>
      <c r="G147" s="48"/>
      <c r="H147" s="8"/>
      <c r="I147" s="1"/>
      <c r="J147" s="4"/>
      <c r="K147" s="1"/>
      <c r="L147" s="4"/>
      <c r="M147" s="1"/>
      <c r="N147" s="1"/>
      <c r="O147" s="1"/>
      <c r="P147" s="1"/>
      <c r="Q147" s="1"/>
      <c r="R147" s="1"/>
      <c r="S147" s="1"/>
      <c r="T147" s="1"/>
      <c r="U147" s="1"/>
      <c r="V147" s="1"/>
      <c r="W147" s="18"/>
      <c r="X147" s="1"/>
      <c r="Y147" s="18"/>
      <c r="Z147" s="94"/>
      <c r="AA147" s="18"/>
      <c r="AB147" s="18"/>
      <c r="AC147" s="18"/>
      <c r="AD147" s="18"/>
      <c r="AE147" s="94"/>
      <c r="AF147" s="94"/>
      <c r="AG147" s="94"/>
      <c r="AH147" s="94"/>
      <c r="AI147" s="1"/>
      <c r="AJ147" s="1"/>
      <c r="AK147" s="1"/>
      <c r="AL147" s="1"/>
      <c r="AM147" s="94"/>
      <c r="AN147" s="94"/>
      <c r="AO147" s="94"/>
      <c r="AP147" s="94"/>
      <c r="AQ147" s="94"/>
      <c r="AR147" s="94"/>
      <c r="AS147" s="94"/>
      <c r="AT147" s="94"/>
      <c r="AU147" s="94"/>
      <c r="AV147" s="94"/>
      <c r="AW147" s="94"/>
      <c r="AX147" s="94"/>
      <c r="AY147" s="94"/>
      <c r="AZ147" s="94"/>
      <c r="BA147" s="94"/>
      <c r="BB147" s="94"/>
      <c r="BC147" s="94"/>
      <c r="BD147" s="94"/>
      <c r="BE147" s="94"/>
      <c r="BF147" s="94"/>
      <c r="BG147" s="94"/>
      <c r="BH147" s="94"/>
      <c r="BI147" s="94"/>
    </row>
    <row r="148" spans="1:61" x14ac:dyDescent="0.2">
      <c r="A148" s="49" t="s">
        <v>9</v>
      </c>
      <c r="B148" s="44"/>
      <c r="D148" s="10"/>
      <c r="G148" s="50"/>
      <c r="I148" s="107"/>
      <c r="W148" s="45"/>
      <c r="Y148" s="45"/>
      <c r="Z148" s="114"/>
      <c r="AA148" s="114"/>
      <c r="AB148" s="114"/>
      <c r="AC148" s="45"/>
      <c r="AD148" s="45"/>
      <c r="AE148" s="45"/>
      <c r="AF148" s="45"/>
      <c r="AG148" s="114"/>
      <c r="AH148" s="114"/>
      <c r="AI148" s="50"/>
      <c r="AJ148" s="50"/>
      <c r="AK148" s="45"/>
      <c r="AL148" s="45"/>
      <c r="AM148" s="45"/>
      <c r="AN148" s="45"/>
      <c r="AO148" s="45"/>
      <c r="AP148" s="45"/>
      <c r="AQ148" s="45"/>
      <c r="AR148" s="45"/>
      <c r="AS148" s="45"/>
      <c r="AT148" s="45"/>
      <c r="AU148" s="45"/>
      <c r="AV148" s="45"/>
      <c r="AW148" s="45"/>
      <c r="AX148" s="45"/>
      <c r="AY148" s="45"/>
      <c r="AZ148" s="45"/>
      <c r="BA148" s="45"/>
      <c r="BB148" s="45"/>
      <c r="BC148" s="45"/>
      <c r="BD148" s="45"/>
      <c r="BE148" s="45"/>
      <c r="BF148" s="45"/>
      <c r="BG148" s="45"/>
      <c r="BH148" s="45"/>
      <c r="BI148" s="45"/>
    </row>
    <row r="149" spans="1:61" s="14" customFormat="1" x14ac:dyDescent="0.2">
      <c r="A149" s="19"/>
      <c r="C149" s="2" t="s">
        <v>2</v>
      </c>
      <c r="D149" s="10"/>
      <c r="E149" s="14" t="s">
        <v>6</v>
      </c>
      <c r="G149" s="84">
        <f>SUM(I149:AG149)</f>
        <v>0</v>
      </c>
      <c r="H149" s="85"/>
      <c r="I149" s="279">
        <f>'Composite FY17'!I158-'[2]Composite FY15FINAL'!I149</f>
        <v>4.0000000000000036E-3</v>
      </c>
      <c r="J149" s="100"/>
      <c r="K149" s="99"/>
      <c r="L149" s="100"/>
      <c r="M149" s="99"/>
      <c r="N149" s="101"/>
      <c r="O149" s="99"/>
      <c r="P149" s="101"/>
      <c r="Q149" s="99"/>
      <c r="R149" s="101"/>
      <c r="S149" s="99"/>
      <c r="T149" s="101"/>
      <c r="U149" s="279">
        <f>'Composite FY17'!U158-'[2]Composite FY15FINAL'!U149</f>
        <v>-4.0000000000000036E-3</v>
      </c>
      <c r="V149" s="88"/>
      <c r="W149" s="88"/>
      <c r="X149" s="88"/>
      <c r="Y149" s="88"/>
      <c r="Z149" s="16"/>
      <c r="AA149" s="88"/>
      <c r="AB149" s="88"/>
      <c r="AC149" s="88"/>
      <c r="AD149" s="88"/>
      <c r="AE149" s="16"/>
      <c r="AF149" s="16"/>
      <c r="AG149" s="16"/>
      <c r="AH149" s="16"/>
      <c r="AI149" s="88"/>
      <c r="AJ149" s="88"/>
      <c r="AK149" s="88"/>
      <c r="AL149" s="88"/>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row>
    <row r="150" spans="1:61" s="14" customFormat="1" x14ac:dyDescent="0.2">
      <c r="A150" s="19"/>
      <c r="C150" s="3" t="s">
        <v>4</v>
      </c>
      <c r="D150" s="10"/>
      <c r="E150" s="14" t="s">
        <v>6</v>
      </c>
      <c r="G150" s="87">
        <f>SUM(I150:AG150)</f>
        <v>0</v>
      </c>
      <c r="H150" s="85"/>
      <c r="I150" s="279">
        <f>'Composite FY17'!I159-'[2]Composite FY15FINAL'!I150</f>
        <v>-1.5999999999999348E-3</v>
      </c>
      <c r="J150" s="100"/>
      <c r="K150" s="99"/>
      <c r="L150" s="100"/>
      <c r="M150" s="99"/>
      <c r="N150" s="101"/>
      <c r="O150" s="99"/>
      <c r="P150" s="101"/>
      <c r="Q150" s="99"/>
      <c r="R150" s="101"/>
      <c r="S150" s="99"/>
      <c r="T150" s="101"/>
      <c r="U150" s="279">
        <f>'Composite FY17'!U159-'[2]Composite FY15FINAL'!U150</f>
        <v>1.5999999999999348E-3</v>
      </c>
      <c r="V150" s="88"/>
      <c r="W150" s="88"/>
      <c r="X150" s="88"/>
      <c r="Y150" s="88"/>
      <c r="Z150" s="16"/>
      <c r="AA150" s="88"/>
      <c r="AB150" s="88"/>
      <c r="AC150" s="88"/>
      <c r="AD150" s="88"/>
      <c r="AE150" s="16"/>
      <c r="AF150" s="16"/>
      <c r="AG150" s="16"/>
      <c r="AH150" s="16"/>
      <c r="AI150" s="88"/>
      <c r="AJ150" s="88"/>
      <c r="AK150" s="88"/>
      <c r="AL150" s="88"/>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row>
    <row r="151" spans="1:61" s="14" customFormat="1" x14ac:dyDescent="0.2">
      <c r="A151" s="19"/>
      <c r="C151" s="2" t="s">
        <v>7</v>
      </c>
      <c r="D151" s="10"/>
      <c r="E151" s="14" t="s">
        <v>6</v>
      </c>
      <c r="G151" s="87">
        <f>SUM(I151:AG151)</f>
        <v>0</v>
      </c>
      <c r="H151" s="85"/>
      <c r="I151" s="279">
        <f>'Composite FY17'!I160-'[2]Composite FY15FINAL'!I151</f>
        <v>-5.5000000000000604E-3</v>
      </c>
      <c r="J151" s="100"/>
      <c r="K151" s="99"/>
      <c r="L151" s="100"/>
      <c r="M151" s="99"/>
      <c r="N151" s="101"/>
      <c r="O151" s="99"/>
      <c r="P151" s="101"/>
      <c r="Q151" s="99"/>
      <c r="R151" s="101"/>
      <c r="S151" s="99"/>
      <c r="T151" s="101"/>
      <c r="U151" s="279">
        <f>'Composite FY17'!U160-'[2]Composite FY15FINAL'!U151</f>
        <v>5.5000000000000604E-3</v>
      </c>
      <c r="V151" s="88"/>
      <c r="W151" s="88"/>
      <c r="X151" s="88"/>
      <c r="Y151" s="88"/>
      <c r="Z151" s="16"/>
      <c r="AA151" s="88"/>
      <c r="AB151" s="88"/>
      <c r="AC151" s="88"/>
      <c r="AD151" s="88"/>
      <c r="AE151" s="16"/>
      <c r="AF151" s="16"/>
      <c r="AG151" s="16"/>
      <c r="AH151" s="16"/>
      <c r="AI151" s="88"/>
      <c r="AJ151" s="88"/>
      <c r="AK151" s="88"/>
      <c r="AL151" s="88"/>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row>
    <row r="152" spans="1:61" s="14" customFormat="1" x14ac:dyDescent="0.2">
      <c r="A152" s="19"/>
      <c r="C152" s="51"/>
      <c r="D152" s="10"/>
      <c r="G152" s="88"/>
      <c r="H152" s="88"/>
      <c r="I152" s="89"/>
      <c r="J152" s="88"/>
      <c r="K152" s="88"/>
      <c r="L152" s="88"/>
      <c r="M152" s="88"/>
      <c r="N152" s="88"/>
      <c r="O152" s="88"/>
      <c r="P152" s="88"/>
      <c r="Q152" s="88"/>
      <c r="R152" s="88"/>
      <c r="S152" s="88"/>
      <c r="T152" s="88"/>
      <c r="U152" s="88"/>
      <c r="V152" s="88"/>
      <c r="W152" s="88"/>
      <c r="X152" s="88"/>
      <c r="Y152" s="88"/>
      <c r="Z152" s="16"/>
      <c r="AA152" s="88"/>
      <c r="AB152" s="88"/>
      <c r="AC152" s="88"/>
      <c r="AD152" s="88"/>
      <c r="AE152" s="16"/>
      <c r="AF152" s="16"/>
      <c r="AG152" s="16"/>
      <c r="AH152" s="16"/>
      <c r="AI152" s="88"/>
      <c r="AJ152" s="88"/>
      <c r="AK152" s="88"/>
      <c r="AL152" s="88"/>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row>
    <row r="153" spans="1:61" s="14" customFormat="1" x14ac:dyDescent="0.2">
      <c r="A153" s="19"/>
      <c r="C153" s="119" t="str">
        <f>C19</f>
        <v>Total Composite Factor for FY 2014</v>
      </c>
      <c r="D153" s="10"/>
      <c r="E153" s="14" t="s">
        <v>6</v>
      </c>
      <c r="G153" s="84">
        <f>SUM(I153:AG153)</f>
        <v>0</v>
      </c>
      <c r="H153" s="85"/>
      <c r="I153" s="279">
        <f>'Composite FY17'!I162-'[2]Composite FY15FINAL'!I153</f>
        <v>-1.0000000000000009E-3</v>
      </c>
      <c r="J153" s="100"/>
      <c r="K153" s="99"/>
      <c r="L153" s="100"/>
      <c r="M153" s="99"/>
      <c r="N153" s="101"/>
      <c r="O153" s="99"/>
      <c r="P153" s="101"/>
      <c r="Q153" s="99"/>
      <c r="R153" s="101"/>
      <c r="S153" s="99"/>
      <c r="T153" s="101"/>
      <c r="U153" s="279">
        <f>'Composite FY17'!U162-'[2]Composite FY15FINAL'!U153</f>
        <v>1.0000000000000009E-3</v>
      </c>
      <c r="V153" s="108"/>
      <c r="W153" s="101"/>
      <c r="X153" s="89"/>
      <c r="Y153" s="101"/>
      <c r="Z153" s="89"/>
      <c r="AA153" s="101"/>
      <c r="AB153" s="101"/>
      <c r="AC153" s="101"/>
      <c r="AD153" s="101"/>
      <c r="AE153" s="16"/>
      <c r="AF153" s="16"/>
      <c r="AG153" s="89"/>
      <c r="AH153" s="89"/>
      <c r="AI153" s="101"/>
      <c r="AJ153" s="101"/>
      <c r="AK153" s="101"/>
      <c r="AL153" s="101"/>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row>
    <row r="154" spans="1:61" ht="15.75" x14ac:dyDescent="0.25">
      <c r="I154" s="242" t="s">
        <v>167</v>
      </c>
      <c r="J154" s="232"/>
      <c r="K154" s="232"/>
      <c r="L154" s="232"/>
      <c r="M154" s="232"/>
      <c r="N154" s="231"/>
      <c r="O154" s="232"/>
      <c r="P154" s="231"/>
      <c r="Q154" s="232"/>
      <c r="R154" s="231"/>
      <c r="S154" s="232"/>
      <c r="T154" s="231"/>
      <c r="U154" s="232" t="s">
        <v>168</v>
      </c>
    </row>
    <row r="157" spans="1:61" s="6" customFormat="1" ht="15.75" x14ac:dyDescent="0.25">
      <c r="A157" s="40"/>
      <c r="C157" s="144" t="s">
        <v>172</v>
      </c>
      <c r="E157" s="145"/>
      <c r="F157" s="145"/>
      <c r="G157" s="145"/>
      <c r="H157" s="145"/>
      <c r="V157" s="148"/>
      <c r="W157" s="147"/>
      <c r="X157" s="148"/>
      <c r="Y157" s="147"/>
      <c r="Z157" s="147"/>
      <c r="AA157" s="147"/>
      <c r="AB157" s="147"/>
      <c r="AC157" s="147"/>
      <c r="AD157" s="147"/>
    </row>
    <row r="158" spans="1:61" s="6" customFormat="1" ht="25.5" x14ac:dyDescent="0.2">
      <c r="A158" s="42"/>
      <c r="B158" s="43"/>
      <c r="C158" s="44"/>
      <c r="E158" s="20"/>
      <c r="G158" s="7" t="s">
        <v>1</v>
      </c>
      <c r="I158" s="81" t="s">
        <v>13</v>
      </c>
      <c r="K158" s="7" t="s">
        <v>10</v>
      </c>
      <c r="M158" s="7" t="s">
        <v>11</v>
      </c>
      <c r="N158" s="20"/>
      <c r="O158" s="7" t="s">
        <v>12</v>
      </c>
      <c r="P158" s="20"/>
      <c r="Q158" s="109" t="s">
        <v>82</v>
      </c>
      <c r="R158" s="20"/>
      <c r="S158" s="7" t="s">
        <v>81</v>
      </c>
      <c r="T158" s="20"/>
      <c r="U158" s="7" t="s">
        <v>14</v>
      </c>
      <c r="V158" s="20"/>
      <c r="W158" s="134"/>
      <c r="X158" s="20"/>
      <c r="Y158" s="20"/>
      <c r="Z158" s="20"/>
      <c r="AA158" s="134"/>
      <c r="AB158" s="134"/>
      <c r="AC158" s="134"/>
      <c r="AD158" s="134"/>
      <c r="AE158" s="7"/>
      <c r="AF158" s="20"/>
      <c r="AG158" s="20"/>
      <c r="AH158" s="20"/>
      <c r="AI158" s="134"/>
      <c r="AJ158" s="134"/>
      <c r="AK158" s="134"/>
      <c r="AL158" s="134"/>
      <c r="AM158" s="20"/>
      <c r="AN158" s="20"/>
      <c r="AO158" s="20"/>
    </row>
    <row r="159" spans="1:61" x14ac:dyDescent="0.2">
      <c r="G159" s="45"/>
      <c r="H159" s="45"/>
      <c r="I159" s="46"/>
      <c r="W159" s="45"/>
      <c r="Y159" s="45"/>
      <c r="Z159" s="114"/>
      <c r="AA159" s="114"/>
      <c r="AB159" s="114"/>
      <c r="AC159" s="45"/>
      <c r="AD159" s="45"/>
      <c r="AG159" s="114"/>
      <c r="AH159" s="114"/>
      <c r="AI159" s="45"/>
      <c r="AJ159" s="45"/>
      <c r="AK159" s="45"/>
      <c r="AL159" s="45"/>
      <c r="AM159" s="45"/>
      <c r="AN159" s="45"/>
      <c r="AO159" s="45"/>
    </row>
    <row r="160" spans="1:61" s="3" customFormat="1" x14ac:dyDescent="0.2">
      <c r="A160" s="19"/>
      <c r="C160" s="2" t="s">
        <v>2</v>
      </c>
      <c r="D160" s="10"/>
      <c r="E160" s="3" t="s">
        <v>3</v>
      </c>
      <c r="G160" s="82">
        <f>SUM(I160:AG160)</f>
        <v>7234500643.4899998</v>
      </c>
      <c r="H160" s="46"/>
      <c r="I160" s="110">
        <f>I10</f>
        <v>652745151.35000002</v>
      </c>
      <c r="J160" s="8"/>
      <c r="K160" s="110">
        <f>K10</f>
        <v>556770002.48000002</v>
      </c>
      <c r="L160" s="8"/>
      <c r="M160" s="110">
        <f>M10</f>
        <v>220793722.37</v>
      </c>
      <c r="N160" s="46"/>
      <c r="O160" s="110">
        <f>O10</f>
        <v>568893959.82000005</v>
      </c>
      <c r="P160" s="46"/>
      <c r="Q160" s="110">
        <f>Q10</f>
        <v>1017265170.3699999</v>
      </c>
      <c r="R160" s="46"/>
      <c r="S160" s="110">
        <f>S10</f>
        <v>531795842.83000004</v>
      </c>
      <c r="T160" s="46"/>
      <c r="U160" s="110">
        <f>U10</f>
        <v>3663720621.48</v>
      </c>
      <c r="V160" s="46"/>
      <c r="W160" s="46"/>
      <c r="X160" s="46"/>
      <c r="Y160" s="46"/>
      <c r="Z160" s="46"/>
      <c r="AA160" s="46"/>
      <c r="AB160" s="46"/>
      <c r="AC160" s="46"/>
      <c r="AD160" s="46"/>
      <c r="AE160" s="110">
        <f>AE10</f>
        <v>22516172.789999999</v>
      </c>
      <c r="AF160" s="46"/>
      <c r="AG160" s="46"/>
      <c r="AH160" s="46"/>
      <c r="AI160" s="46"/>
      <c r="AJ160" s="46"/>
      <c r="AK160" s="46"/>
      <c r="AL160" s="46"/>
      <c r="AM160" s="94"/>
      <c r="AN160" s="94"/>
      <c r="AO160" s="94"/>
    </row>
    <row r="161" spans="1:69" s="3" customFormat="1" x14ac:dyDescent="0.2">
      <c r="A161" s="19"/>
      <c r="C161" s="3" t="s">
        <v>4</v>
      </c>
      <c r="D161" s="10"/>
      <c r="E161" s="3" t="s">
        <v>5</v>
      </c>
      <c r="G161" s="83">
        <f>SUM(I161:AG161)</f>
        <v>3090809.333333333</v>
      </c>
      <c r="H161" s="46"/>
      <c r="I161" s="111">
        <f>I11</f>
        <v>299655.58333333331</v>
      </c>
      <c r="J161" s="8"/>
      <c r="K161" s="110">
        <f>K11</f>
        <v>249509.25</v>
      </c>
      <c r="L161" s="8"/>
      <c r="M161" s="110">
        <f>M11</f>
        <v>74383.416666666672</v>
      </c>
      <c r="N161" s="46"/>
      <c r="O161" s="110">
        <f>O11</f>
        <v>273973.91666666669</v>
      </c>
      <c r="P161" s="46"/>
      <c r="Q161" s="110">
        <f>Q11</f>
        <v>337869.5</v>
      </c>
      <c r="R161" s="46"/>
      <c r="S161" s="110">
        <f>S11</f>
        <v>247834.75</v>
      </c>
      <c r="T161" s="46"/>
      <c r="U161" s="110">
        <f>U11</f>
        <v>1607562.9166666667</v>
      </c>
      <c r="V161" s="46"/>
      <c r="W161" s="46"/>
      <c r="X161" s="46"/>
      <c r="Y161" s="46"/>
      <c r="Z161" s="46"/>
      <c r="AA161" s="46"/>
      <c r="AB161" s="46"/>
      <c r="AC161" s="46"/>
      <c r="AD161" s="46"/>
      <c r="AE161" s="110">
        <f>AE11</f>
        <v>20</v>
      </c>
      <c r="AF161" s="46"/>
      <c r="AG161" s="46"/>
      <c r="AH161" s="46"/>
      <c r="AI161" s="46"/>
      <c r="AJ161" s="46"/>
      <c r="AK161" s="46"/>
      <c r="AL161" s="46"/>
      <c r="AM161" s="94"/>
      <c r="AN161" s="94"/>
      <c r="AO161" s="94"/>
    </row>
    <row r="162" spans="1:69" s="3" customFormat="1" x14ac:dyDescent="0.2">
      <c r="A162" s="19"/>
      <c r="C162" s="2" t="s">
        <v>15</v>
      </c>
      <c r="D162" s="10"/>
      <c r="E162" s="3" t="s">
        <v>3</v>
      </c>
      <c r="G162" s="82">
        <f>SUM(I162:AG162)</f>
        <v>266860302.50999999</v>
      </c>
      <c r="H162" s="46"/>
      <c r="I162" s="111">
        <f>I12</f>
        <v>29874554.219999999</v>
      </c>
      <c r="J162" s="8"/>
      <c r="K162" s="110">
        <f>K12</f>
        <v>26093066.919999998</v>
      </c>
      <c r="L162" s="8"/>
      <c r="M162" s="111">
        <f>M12</f>
        <v>8919945</v>
      </c>
      <c r="N162" s="46"/>
      <c r="O162" s="111">
        <f>O12</f>
        <v>24124493.559999999</v>
      </c>
      <c r="P162" s="46"/>
      <c r="Q162" s="110">
        <f>Q12</f>
        <v>36066524.019999996</v>
      </c>
      <c r="R162" s="46"/>
      <c r="S162" s="110">
        <f>S12</f>
        <v>28949598.719999999</v>
      </c>
      <c r="T162" s="46"/>
      <c r="U162" s="110">
        <f>U12</f>
        <v>111747643.95999999</v>
      </c>
      <c r="V162" s="46"/>
      <c r="W162" s="46"/>
      <c r="X162" s="46"/>
      <c r="Y162" s="46"/>
      <c r="Z162" s="46"/>
      <c r="AA162" s="46"/>
      <c r="AB162" s="46"/>
      <c r="AC162" s="46"/>
      <c r="AD162" s="46"/>
      <c r="AE162" s="110">
        <f>AE12</f>
        <v>1084476.1099999999</v>
      </c>
      <c r="AF162" s="46"/>
      <c r="AG162" s="46"/>
      <c r="AH162" s="46"/>
      <c r="AI162" s="46"/>
      <c r="AJ162" s="46"/>
      <c r="AK162" s="46"/>
      <c r="AL162" s="46"/>
      <c r="AM162" s="94"/>
      <c r="AN162" s="94"/>
      <c r="AO162" s="94"/>
    </row>
    <row r="163" spans="1:69" s="3" customFormat="1" x14ac:dyDescent="0.2">
      <c r="A163" s="19"/>
      <c r="C163" s="47" t="s">
        <v>16</v>
      </c>
      <c r="D163" s="10"/>
      <c r="G163" s="48"/>
      <c r="H163" s="8"/>
      <c r="I163" s="1"/>
      <c r="J163" s="4"/>
      <c r="K163" s="1"/>
      <c r="L163" s="4"/>
      <c r="M163" s="1"/>
      <c r="N163" s="1"/>
      <c r="O163" s="1"/>
      <c r="P163" s="1"/>
      <c r="Q163" s="1"/>
      <c r="R163" s="1"/>
      <c r="S163" s="1"/>
      <c r="T163" s="1"/>
      <c r="U163" s="1"/>
      <c r="V163" s="1"/>
      <c r="W163" s="18"/>
      <c r="X163" s="1"/>
      <c r="Y163" s="18"/>
      <c r="Z163" s="94"/>
      <c r="AA163" s="18"/>
      <c r="AB163" s="18"/>
      <c r="AC163" s="18"/>
      <c r="AD163" s="18"/>
      <c r="AE163" s="1"/>
      <c r="AF163" s="1"/>
      <c r="AG163" s="94"/>
      <c r="AH163" s="94"/>
      <c r="AI163" s="1"/>
      <c r="AJ163" s="1"/>
      <c r="AK163" s="1"/>
      <c r="AL163" s="1"/>
      <c r="AM163" s="94"/>
      <c r="AN163" s="94"/>
      <c r="AO163" s="94"/>
    </row>
    <row r="164" spans="1:69" x14ac:dyDescent="0.2">
      <c r="A164" s="49" t="s">
        <v>9</v>
      </c>
      <c r="B164" s="44"/>
      <c r="D164" s="10"/>
      <c r="G164" s="50"/>
      <c r="I164" s="107"/>
      <c r="W164" s="45"/>
      <c r="Y164" s="45"/>
      <c r="Z164" s="114"/>
      <c r="AA164" s="114"/>
      <c r="AB164" s="114"/>
      <c r="AC164" s="45"/>
      <c r="AD164" s="45"/>
      <c r="AG164" s="114"/>
      <c r="AH164" s="114"/>
      <c r="AI164" s="50"/>
      <c r="AJ164" s="50"/>
      <c r="AK164" s="45"/>
      <c r="AL164" s="45"/>
      <c r="AM164" s="45"/>
      <c r="AN164" s="45"/>
      <c r="AO164" s="45"/>
    </row>
    <row r="165" spans="1:69" s="14" customFormat="1" x14ac:dyDescent="0.2">
      <c r="A165" s="19"/>
      <c r="C165" s="2" t="s">
        <v>2</v>
      </c>
      <c r="D165" s="10"/>
      <c r="E165" s="14" t="s">
        <v>6</v>
      </c>
      <c r="G165" s="84">
        <f>SUM(I165:AG165)</f>
        <v>3.7296554733501353E-17</v>
      </c>
      <c r="H165" s="85"/>
      <c r="I165" s="279">
        <f>'Composite FY17'!I174-'[2]Composite FY15FINAL'!I165</f>
        <v>4.7000000000000375E-3</v>
      </c>
      <c r="J165" s="85"/>
      <c r="K165" s="279">
        <f>'Composite FY17'!K174-'[2]Composite FY15FINAL'!K165</f>
        <v>-5.7000000000000037E-3</v>
      </c>
      <c r="L165" s="85"/>
      <c r="M165" s="279">
        <f>'Composite FY17'!M174-'[2]Composite FY15FINAL'!M165</f>
        <v>2.1000000000000012E-3</v>
      </c>
      <c r="N165" s="88"/>
      <c r="O165" s="279">
        <f>'Composite FY17'!O174-'[2]Composite FY15FINAL'!O165</f>
        <v>-7.9999999999999516E-4</v>
      </c>
      <c r="P165" s="88"/>
      <c r="Q165" s="279">
        <f>'Composite FY17'!Q174-'[2]Composite FY15FINAL'!Q165</f>
        <v>1.9999999999997797E-4</v>
      </c>
      <c r="R165" s="88"/>
      <c r="S165" s="279">
        <f>'Composite FY17'!S174-'[2]Composite FY15FINAL'!S165</f>
        <v>-6.999999999999923E-4</v>
      </c>
      <c r="T165" s="88"/>
      <c r="U165" s="279">
        <f>'Composite FY17'!U174-'[2]Composite FY15FINAL'!U165</f>
        <v>9.000000000000119E-4</v>
      </c>
      <c r="V165" s="88"/>
      <c r="W165" s="88"/>
      <c r="X165" s="88"/>
      <c r="Y165" s="88"/>
      <c r="Z165" s="16"/>
      <c r="AA165" s="88"/>
      <c r="AB165" s="88"/>
      <c r="AC165" s="88"/>
      <c r="AD165" s="88"/>
      <c r="AE165" s="279">
        <f>'Composite FY17'!AE174-'[2]Composite FY15FINAL'!AE165</f>
        <v>-7.000000000000001E-4</v>
      </c>
      <c r="AF165" s="88"/>
      <c r="AG165" s="16"/>
      <c r="AH165" s="16"/>
      <c r="AI165" s="88"/>
      <c r="AJ165" s="88"/>
      <c r="AK165" s="88"/>
      <c r="AL165" s="88"/>
      <c r="AM165" s="16"/>
      <c r="AN165" s="16"/>
      <c r="AO165" s="16"/>
    </row>
    <row r="166" spans="1:69" s="14" customFormat="1" x14ac:dyDescent="0.2">
      <c r="A166" s="19"/>
      <c r="C166" s="3" t="s">
        <v>4</v>
      </c>
      <c r="D166" s="10"/>
      <c r="E166" s="14" t="s">
        <v>6</v>
      </c>
      <c r="G166" s="87">
        <f>SUM(I166:AG166)</f>
        <v>-4.8572257327350599E-17</v>
      </c>
      <c r="H166" s="85"/>
      <c r="I166" s="279">
        <f>'Composite FY17'!I175-'[2]Composite FY15FINAL'!I166</f>
        <v>-9.000000000000119E-4</v>
      </c>
      <c r="J166" s="85"/>
      <c r="K166" s="279">
        <f>'Composite FY17'!K175-'[2]Composite FY15FINAL'!K166</f>
        <v>1.2999999999999956E-3</v>
      </c>
      <c r="L166" s="85"/>
      <c r="M166" s="279">
        <f>'Composite FY17'!M175-'[2]Composite FY15FINAL'!M166</f>
        <v>-3.0000000000000165E-4</v>
      </c>
      <c r="N166" s="88"/>
      <c r="O166" s="279">
        <f>'Composite FY17'!O175-'[2]Composite FY15FINAL'!O166</f>
        <v>-3.9999999999999758E-4</v>
      </c>
      <c r="P166" s="88"/>
      <c r="Q166" s="279">
        <f>'Composite FY17'!Q175-'[2]Composite FY15FINAL'!Q166</f>
        <v>5.9999999999998943E-4</v>
      </c>
      <c r="R166" s="88"/>
      <c r="S166" s="279">
        <f>'Composite FY17'!S175-'[2]Composite FY15FINAL'!S166</f>
        <v>-1.5000000000000013E-3</v>
      </c>
      <c r="T166" s="88"/>
      <c r="U166" s="279">
        <f>'Composite FY17'!U175-'[2]Composite FY15FINAL'!U166</f>
        <v>1.1999999999999789E-3</v>
      </c>
      <c r="V166" s="88"/>
      <c r="W166" s="88"/>
      <c r="X166" s="88"/>
      <c r="Y166" s="88"/>
      <c r="Z166" s="16"/>
      <c r="AA166" s="88"/>
      <c r="AB166" s="88"/>
      <c r="AC166" s="88"/>
      <c r="AD166" s="88"/>
      <c r="AE166" s="279">
        <f>'Composite FY17'!AE175-'[2]Composite FY15FINAL'!AE166</f>
        <v>0</v>
      </c>
      <c r="AF166" s="88"/>
      <c r="AG166" s="16"/>
      <c r="AH166" s="16"/>
      <c r="AI166" s="88"/>
      <c r="AJ166" s="88"/>
      <c r="AK166" s="88"/>
      <c r="AL166" s="88"/>
      <c r="AM166" s="16"/>
      <c r="AN166" s="16"/>
      <c r="AO166" s="16"/>
    </row>
    <row r="167" spans="1:69" s="14" customFormat="1" x14ac:dyDescent="0.2">
      <c r="A167" s="19"/>
      <c r="C167" s="2" t="s">
        <v>7</v>
      </c>
      <c r="D167" s="10"/>
      <c r="E167" s="14" t="s">
        <v>6</v>
      </c>
      <c r="G167" s="87">
        <f>SUM(I167:AG167)</f>
        <v>-7.3725747729014302E-17</v>
      </c>
      <c r="H167" s="85"/>
      <c r="I167" s="279">
        <f>'Composite FY17'!I176-'[2]Composite FY15FINAL'!I167</f>
        <v>6.9999999999992291E-4</v>
      </c>
      <c r="J167" s="85"/>
      <c r="K167" s="279">
        <f>'Composite FY17'!K176-'[2]Composite FY15FINAL'!K167</f>
        <v>2.7999999999999969E-3</v>
      </c>
      <c r="L167" s="85"/>
      <c r="M167" s="279">
        <f>'Composite FY17'!M176-'[2]Composite FY15FINAL'!M167</f>
        <v>-9.9999999999999395E-4</v>
      </c>
      <c r="N167" s="88"/>
      <c r="O167" s="279">
        <f>'Composite FY17'!O176-'[2]Composite FY15FINAL'!O167</f>
        <v>0</v>
      </c>
      <c r="P167" s="88"/>
      <c r="Q167" s="279">
        <f>'Composite FY17'!Q176-'[2]Composite FY15FINAL'!Q167</f>
        <v>-6.8999999999999895E-3</v>
      </c>
      <c r="R167" s="88"/>
      <c r="S167" s="279">
        <f>'Composite FY17'!S176-'[2]Composite FY15FINAL'!S167</f>
        <v>-1.2700000000000003E-2</v>
      </c>
      <c r="T167" s="88"/>
      <c r="U167" s="279">
        <f>'Composite FY17'!U176-'[2]Composite FY15FINAL'!U167</f>
        <v>1.6699999999999993E-2</v>
      </c>
      <c r="V167" s="88"/>
      <c r="W167" s="88"/>
      <c r="X167" s="88"/>
      <c r="Y167" s="88"/>
      <c r="Z167" s="16"/>
      <c r="AA167" s="88"/>
      <c r="AB167" s="88"/>
      <c r="AC167" s="88"/>
      <c r="AD167" s="88"/>
      <c r="AE167" s="279">
        <f>'Composite FY17'!AE176-'[2]Composite FY15FINAL'!AE167</f>
        <v>4.0000000000000018E-4</v>
      </c>
      <c r="AF167" s="88"/>
      <c r="AG167" s="16"/>
      <c r="AH167" s="16"/>
      <c r="AI167" s="88"/>
      <c r="AJ167" s="88"/>
      <c r="AK167" s="88"/>
      <c r="AL167" s="88"/>
      <c r="AM167" s="16"/>
      <c r="AN167" s="16"/>
      <c r="AO167" s="16"/>
    </row>
    <row r="168" spans="1:69" s="14" customFormat="1" x14ac:dyDescent="0.2">
      <c r="A168" s="19"/>
      <c r="C168" s="51"/>
      <c r="D168" s="10"/>
      <c r="G168" s="88"/>
      <c r="H168" s="88"/>
      <c r="I168" s="89"/>
      <c r="J168" s="88"/>
      <c r="K168" s="88"/>
      <c r="L168" s="88"/>
      <c r="M168" s="88"/>
      <c r="N168" s="88"/>
      <c r="O168" s="88"/>
      <c r="P168" s="88"/>
      <c r="Q168" s="88"/>
      <c r="R168" s="88"/>
      <c r="S168" s="88"/>
      <c r="T168" s="88"/>
      <c r="U168" s="88"/>
      <c r="V168" s="88"/>
      <c r="W168" s="88"/>
      <c r="X168" s="88"/>
      <c r="Y168" s="88"/>
      <c r="Z168" s="16"/>
      <c r="AA168" s="88"/>
      <c r="AB168" s="88"/>
      <c r="AC168" s="88"/>
      <c r="AD168" s="88"/>
      <c r="AE168" s="88"/>
      <c r="AF168" s="88"/>
      <c r="AG168" s="16"/>
      <c r="AH168" s="16"/>
      <c r="AI168" s="88"/>
      <c r="AJ168" s="88"/>
      <c r="AK168" s="88"/>
      <c r="AL168" s="88"/>
      <c r="AM168" s="16"/>
      <c r="AN168" s="16"/>
      <c r="AO168" s="16"/>
    </row>
    <row r="169" spans="1:69" s="14" customFormat="1" x14ac:dyDescent="0.2">
      <c r="A169" s="19"/>
      <c r="C169" s="119" t="str">
        <f>C19</f>
        <v>Total Composite Factor for FY 2014</v>
      </c>
      <c r="D169" s="10"/>
      <c r="E169" s="14" t="s">
        <v>6</v>
      </c>
      <c r="G169" s="84">
        <f>SUM(I169:AG169)</f>
        <v>1.9038590148845458E-16</v>
      </c>
      <c r="H169" s="85"/>
      <c r="I169" s="279">
        <f>'Composite FY17'!I178-'[2]Composite FY15FINAL'!I169</f>
        <v>1.5000000000001679E-3</v>
      </c>
      <c r="J169" s="85"/>
      <c r="K169" s="279">
        <f>'Composite FY17'!K178-'[2]Composite FY15FINAL'!K169</f>
        <v>-6.0000000000000331E-4</v>
      </c>
      <c r="L169" s="85"/>
      <c r="M169" s="279">
        <f>'Composite FY17'!M178-'[2]Composite FY15FINAL'!M169</f>
        <v>3.0000000000000165E-4</v>
      </c>
      <c r="N169" s="88"/>
      <c r="O169" s="279">
        <f>'Composite FY17'!O178-'[2]Composite FY15FINAL'!O169</f>
        <v>-3.9999999999999758E-4</v>
      </c>
      <c r="P169" s="88"/>
      <c r="Q169" s="279">
        <f>'Composite FY17'!Q178-'[2]Composite FY15FINAL'!Q169</f>
        <v>-2.1000000000000185E-3</v>
      </c>
      <c r="R169" s="88"/>
      <c r="S169" s="279">
        <f>'Composite FY17'!S178-'[2]Composite FY15FINAL'!S169</f>
        <v>-4.8999999999999877E-3</v>
      </c>
      <c r="T169" s="88"/>
      <c r="U169" s="279">
        <f>'Composite FY17'!U178-'[2]Composite FY15FINAL'!U169</f>
        <v>6.3000000000000278E-3</v>
      </c>
      <c r="V169" s="236"/>
      <c r="W169" s="235"/>
      <c r="X169" s="250"/>
      <c r="Y169" s="235"/>
      <c r="Z169" s="250"/>
      <c r="AA169" s="235"/>
      <c r="AB169" s="235"/>
      <c r="AC169" s="235"/>
      <c r="AD169" s="235"/>
      <c r="AE169" s="279">
        <f>'Composite FY17'!AE178-'[2]Composite FY15FINAL'!AE169</f>
        <v>-9.9999999999999829E-5</v>
      </c>
      <c r="AF169" s="101"/>
      <c r="AG169" s="89"/>
      <c r="AH169" s="89"/>
      <c r="AI169" s="101"/>
      <c r="AJ169" s="101"/>
      <c r="AK169" s="101"/>
      <c r="AL169" s="101"/>
      <c r="AM169" s="16"/>
      <c r="AN169" s="16"/>
      <c r="AO169" s="16"/>
    </row>
    <row r="170" spans="1:69" ht="15.75" x14ac:dyDescent="0.25">
      <c r="I170" s="242" t="s">
        <v>173</v>
      </c>
      <c r="J170" s="232"/>
      <c r="K170" s="232" t="s">
        <v>174</v>
      </c>
      <c r="L170" s="232"/>
      <c r="M170" s="232" t="s">
        <v>175</v>
      </c>
      <c r="N170" s="231"/>
      <c r="O170" s="232" t="s">
        <v>175</v>
      </c>
      <c r="P170" s="231"/>
      <c r="Q170" s="232" t="s">
        <v>176</v>
      </c>
      <c r="R170" s="231"/>
      <c r="S170" s="232" t="s">
        <v>177</v>
      </c>
      <c r="T170" s="231"/>
      <c r="U170" s="246" t="s">
        <v>178</v>
      </c>
      <c r="V170" s="237"/>
      <c r="W170" s="237"/>
      <c r="X170" s="237"/>
      <c r="Y170" s="237"/>
      <c r="Z170" s="240"/>
      <c r="AA170" s="240"/>
      <c r="AB170" s="240"/>
      <c r="AC170" s="237"/>
      <c r="AD170" s="237"/>
      <c r="AE170" s="232" t="s">
        <v>179</v>
      </c>
      <c r="AG170" s="114"/>
      <c r="AH170" s="114"/>
      <c r="AI170" s="45"/>
      <c r="AJ170" s="45"/>
      <c r="AK170" s="45"/>
      <c r="AL170" s="45"/>
      <c r="AM170" s="45"/>
      <c r="AN170" s="45"/>
      <c r="AO170" s="45"/>
    </row>
    <row r="173" spans="1:69" s="6" customFormat="1" ht="15.75" x14ac:dyDescent="0.25">
      <c r="A173" s="40"/>
      <c r="C173" s="131" t="s">
        <v>101</v>
      </c>
      <c r="D173" s="132"/>
      <c r="E173" s="133"/>
      <c r="I173" s="146"/>
      <c r="J173" s="147"/>
      <c r="T173" s="148"/>
      <c r="U173" s="147"/>
      <c r="V173" s="148"/>
      <c r="W173" s="5"/>
      <c r="X173" s="5"/>
      <c r="Y173" s="5"/>
      <c r="Z173" s="5"/>
      <c r="AA173" s="5"/>
      <c r="AB173" s="5"/>
      <c r="AC173" s="5"/>
      <c r="AD173" s="5"/>
      <c r="AE173" s="5"/>
    </row>
    <row r="174" spans="1:69" s="6" customFormat="1" ht="25.5" x14ac:dyDescent="0.2">
      <c r="A174" s="42" t="s">
        <v>8</v>
      </c>
      <c r="B174" s="43"/>
      <c r="C174" s="44"/>
      <c r="E174" s="20"/>
      <c r="G174" s="7" t="s">
        <v>1</v>
      </c>
      <c r="I174" s="81" t="s">
        <v>13</v>
      </c>
      <c r="K174" s="7" t="s">
        <v>10</v>
      </c>
      <c r="M174" s="7" t="s">
        <v>11</v>
      </c>
      <c r="N174" s="20"/>
      <c r="O174" s="7" t="s">
        <v>12</v>
      </c>
      <c r="P174" s="20"/>
      <c r="Q174" s="109" t="s">
        <v>82</v>
      </c>
      <c r="R174" s="20"/>
      <c r="S174" s="7" t="s">
        <v>81</v>
      </c>
      <c r="T174" s="20"/>
      <c r="U174" s="20"/>
      <c r="V174" s="20"/>
      <c r="W174" s="5"/>
      <c r="X174" s="5"/>
      <c r="Y174" s="5"/>
      <c r="Z174" s="5"/>
      <c r="AA174" s="5"/>
      <c r="AB174" s="5"/>
      <c r="AC174" s="5"/>
      <c r="AD174" s="5"/>
      <c r="AE174" s="5"/>
      <c r="AF174" s="20"/>
      <c r="AG174" s="20"/>
      <c r="AH174" s="20"/>
      <c r="AI174" s="134"/>
      <c r="AJ174" s="134"/>
      <c r="AK174" s="134"/>
      <c r="AL174" s="134"/>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c r="BL174" s="20"/>
      <c r="BM174" s="20"/>
      <c r="BN174" s="20"/>
      <c r="BO174" s="20"/>
      <c r="BP174" s="20"/>
      <c r="BQ174" s="20"/>
    </row>
    <row r="175" spans="1:69" x14ac:dyDescent="0.2">
      <c r="G175" s="45"/>
      <c r="H175" s="45"/>
      <c r="I175" s="46"/>
      <c r="U175" s="45"/>
      <c r="X175" s="5"/>
      <c r="Z175" s="5"/>
      <c r="AA175" s="5"/>
      <c r="AB175" s="5"/>
      <c r="AF175" s="45"/>
      <c r="AG175" s="114"/>
      <c r="AH175" s="114"/>
      <c r="AI175" s="45"/>
      <c r="AJ175" s="45"/>
      <c r="AK175" s="45"/>
      <c r="AL175" s="45"/>
      <c r="AM175" s="45"/>
      <c r="AN175" s="45"/>
      <c r="AO175" s="45"/>
      <c r="AP175" s="45"/>
      <c r="AQ175" s="45"/>
      <c r="AR175" s="45"/>
      <c r="AS175" s="45"/>
      <c r="AT175" s="45"/>
      <c r="AU175" s="45"/>
      <c r="AV175" s="45"/>
      <c r="AW175" s="45"/>
      <c r="AX175" s="45"/>
      <c r="AY175" s="45"/>
      <c r="AZ175" s="45"/>
      <c r="BA175" s="45"/>
      <c r="BB175" s="45"/>
      <c r="BC175" s="45"/>
      <c r="BD175" s="45"/>
      <c r="BE175" s="45"/>
      <c r="BF175" s="45"/>
      <c r="BG175" s="45"/>
      <c r="BH175" s="45"/>
      <c r="BI175" s="45"/>
      <c r="BJ175" s="45"/>
      <c r="BK175" s="45"/>
      <c r="BL175" s="45"/>
      <c r="BM175" s="45"/>
      <c r="BN175" s="45"/>
      <c r="BO175" s="45"/>
      <c r="BP175" s="45"/>
      <c r="BQ175" s="45"/>
    </row>
    <row r="176" spans="1:69" s="3" customFormat="1" x14ac:dyDescent="0.2">
      <c r="A176" s="19"/>
      <c r="C176" s="2" t="s">
        <v>2</v>
      </c>
      <c r="D176" s="10"/>
      <c r="E176" s="3" t="s">
        <v>3</v>
      </c>
      <c r="G176" s="82">
        <f>SUM(I176:AG176)</f>
        <v>1878253527.5</v>
      </c>
      <c r="H176" s="46"/>
      <c r="I176" s="110"/>
      <c r="J176" s="8"/>
      <c r="K176" s="110">
        <f>K10</f>
        <v>556770002.48000002</v>
      </c>
      <c r="L176" s="8"/>
      <c r="M176" s="110">
        <f>M10</f>
        <v>220793722.37</v>
      </c>
      <c r="N176" s="46"/>
      <c r="O176" s="110">
        <f>O10</f>
        <v>568893959.82000005</v>
      </c>
      <c r="P176" s="46"/>
      <c r="Q176" s="110"/>
      <c r="R176" s="46"/>
      <c r="S176" s="110">
        <f>S10</f>
        <v>531795842.83000004</v>
      </c>
      <c r="T176" s="46"/>
      <c r="U176" s="46"/>
      <c r="V176" s="46"/>
      <c r="W176" s="5"/>
      <c r="X176" s="5"/>
      <c r="Y176" s="5"/>
      <c r="Z176" s="5"/>
      <c r="AA176" s="5"/>
      <c r="AB176" s="5"/>
      <c r="AC176" s="5"/>
      <c r="AD176" s="5"/>
      <c r="AE176" s="5"/>
      <c r="AF176" s="94"/>
      <c r="AG176" s="46"/>
      <c r="AH176" s="46"/>
      <c r="AI176" s="46"/>
      <c r="AJ176" s="46"/>
      <c r="AK176" s="46"/>
      <c r="AL176" s="46"/>
      <c r="AM176" s="94"/>
      <c r="AN176" s="94"/>
      <c r="AO176" s="94"/>
      <c r="AP176" s="94"/>
      <c r="AQ176" s="94"/>
      <c r="AR176" s="94"/>
      <c r="AS176" s="94"/>
      <c r="AT176" s="94"/>
      <c r="AU176" s="94"/>
      <c r="AV176" s="94"/>
      <c r="AW176" s="94"/>
      <c r="AX176" s="94"/>
      <c r="AY176" s="94"/>
      <c r="AZ176" s="94"/>
      <c r="BA176" s="94"/>
      <c r="BB176" s="94"/>
      <c r="BC176" s="94"/>
      <c r="BD176" s="94"/>
      <c r="BE176" s="94"/>
      <c r="BF176" s="94"/>
      <c r="BG176" s="94"/>
      <c r="BH176" s="94"/>
      <c r="BI176" s="94"/>
      <c r="BJ176" s="94"/>
      <c r="BK176" s="94"/>
      <c r="BL176" s="94"/>
      <c r="BM176" s="94"/>
      <c r="BN176" s="94"/>
      <c r="BO176" s="94"/>
      <c r="BP176" s="94"/>
      <c r="BQ176" s="94"/>
    </row>
    <row r="177" spans="1:69" s="3" customFormat="1" x14ac:dyDescent="0.2">
      <c r="A177" s="19"/>
      <c r="C177" s="3" t="s">
        <v>4</v>
      </c>
      <c r="D177" s="10"/>
      <c r="E177" s="3" t="s">
        <v>5</v>
      </c>
      <c r="G177" s="83">
        <f>SUM(I177:AG177)</f>
        <v>845701.33333333337</v>
      </c>
      <c r="H177" s="46"/>
      <c r="I177" s="111"/>
      <c r="J177" s="8"/>
      <c r="K177" s="110">
        <f>K11</f>
        <v>249509.25</v>
      </c>
      <c r="L177" s="8"/>
      <c r="M177" s="110">
        <f>M11</f>
        <v>74383.416666666672</v>
      </c>
      <c r="N177" s="46"/>
      <c r="O177" s="110">
        <f>O11</f>
        <v>273973.91666666669</v>
      </c>
      <c r="P177" s="46"/>
      <c r="Q177" s="110"/>
      <c r="R177" s="46"/>
      <c r="S177" s="110">
        <f>S11</f>
        <v>247834.75</v>
      </c>
      <c r="T177" s="46"/>
      <c r="U177" s="46"/>
      <c r="V177" s="46"/>
      <c r="W177" s="5"/>
      <c r="X177" s="5"/>
      <c r="Y177" s="5"/>
      <c r="Z177" s="5"/>
      <c r="AA177" s="5"/>
      <c r="AB177" s="5"/>
      <c r="AC177" s="5"/>
      <c r="AD177" s="5"/>
      <c r="AE177" s="5"/>
      <c r="AF177" s="94"/>
      <c r="AG177" s="46"/>
      <c r="AH177" s="46"/>
      <c r="AI177" s="46"/>
      <c r="AJ177" s="46"/>
      <c r="AK177" s="46"/>
      <c r="AL177" s="46"/>
      <c r="AM177" s="94"/>
      <c r="AN177" s="94"/>
      <c r="AO177" s="94"/>
      <c r="AP177" s="94"/>
      <c r="AQ177" s="94"/>
      <c r="AR177" s="94"/>
      <c r="AS177" s="94"/>
      <c r="AT177" s="94"/>
      <c r="AU177" s="94"/>
      <c r="AV177" s="94"/>
      <c r="AW177" s="94"/>
      <c r="AX177" s="94"/>
      <c r="AY177" s="94"/>
      <c r="AZ177" s="94"/>
      <c r="BA177" s="94"/>
      <c r="BB177" s="94"/>
      <c r="BC177" s="94"/>
      <c r="BD177" s="94"/>
      <c r="BE177" s="94"/>
      <c r="BF177" s="94"/>
      <c r="BG177" s="94"/>
      <c r="BH177" s="94"/>
      <c r="BI177" s="94"/>
      <c r="BJ177" s="94"/>
      <c r="BK177" s="94"/>
      <c r="BL177" s="94"/>
      <c r="BM177" s="94"/>
      <c r="BN177" s="94"/>
      <c r="BO177" s="94"/>
      <c r="BP177" s="94"/>
      <c r="BQ177" s="94"/>
    </row>
    <row r="178" spans="1:69" s="3" customFormat="1" x14ac:dyDescent="0.2">
      <c r="A178" s="19"/>
      <c r="C178" s="2" t="s">
        <v>15</v>
      </c>
      <c r="D178" s="10"/>
      <c r="E178" s="3" t="s">
        <v>3</v>
      </c>
      <c r="G178" s="82">
        <f>SUM(I178:AG178)</f>
        <v>88087104.200000003</v>
      </c>
      <c r="H178" s="46"/>
      <c r="I178" s="111"/>
      <c r="J178" s="8"/>
      <c r="K178" s="110">
        <f>K12</f>
        <v>26093066.919999998</v>
      </c>
      <c r="L178" s="8"/>
      <c r="M178" s="111">
        <f>M12</f>
        <v>8919945</v>
      </c>
      <c r="N178" s="46"/>
      <c r="O178" s="111">
        <f>O12</f>
        <v>24124493.559999999</v>
      </c>
      <c r="P178" s="46"/>
      <c r="Q178" s="110"/>
      <c r="R178" s="46"/>
      <c r="S178" s="110">
        <f>S12</f>
        <v>28949598.719999999</v>
      </c>
      <c r="T178" s="46"/>
      <c r="U178" s="46"/>
      <c r="V178" s="46"/>
      <c r="W178" s="5"/>
      <c r="X178" s="5"/>
      <c r="Y178" s="5"/>
      <c r="Z178" s="5"/>
      <c r="AA178" s="5"/>
      <c r="AB178" s="5"/>
      <c r="AC178" s="5"/>
      <c r="AD178" s="5"/>
      <c r="AE178" s="5"/>
      <c r="AF178" s="94"/>
      <c r="AG178" s="46"/>
      <c r="AH178" s="46"/>
      <c r="AI178" s="46"/>
      <c r="AJ178" s="46"/>
      <c r="AK178" s="46"/>
      <c r="AL178" s="46"/>
      <c r="AM178" s="94"/>
      <c r="AN178" s="94"/>
      <c r="AO178" s="94"/>
      <c r="AP178" s="94"/>
      <c r="AQ178" s="94"/>
      <c r="AR178" s="94"/>
      <c r="AS178" s="94"/>
      <c r="AT178" s="94"/>
      <c r="AU178" s="94"/>
      <c r="AV178" s="94"/>
      <c r="AW178" s="94"/>
      <c r="AX178" s="94"/>
      <c r="AY178" s="94"/>
      <c r="AZ178" s="94"/>
      <c r="BA178" s="94"/>
      <c r="BB178" s="94"/>
      <c r="BC178" s="94"/>
      <c r="BD178" s="94"/>
      <c r="BE178" s="94"/>
      <c r="BF178" s="94"/>
      <c r="BG178" s="94"/>
      <c r="BH178" s="94"/>
      <c r="BI178" s="94"/>
      <c r="BJ178" s="94"/>
      <c r="BK178" s="94"/>
      <c r="BL178" s="94"/>
      <c r="BM178" s="94"/>
      <c r="BN178" s="94"/>
      <c r="BO178" s="94"/>
      <c r="BP178" s="94"/>
      <c r="BQ178" s="94"/>
    </row>
    <row r="179" spans="1:69" s="3" customFormat="1" x14ac:dyDescent="0.2">
      <c r="A179" s="19"/>
      <c r="C179" s="47" t="s">
        <v>16</v>
      </c>
      <c r="D179" s="10"/>
      <c r="G179" s="48"/>
      <c r="H179" s="8"/>
      <c r="I179" s="1"/>
      <c r="J179" s="4"/>
      <c r="K179" s="1"/>
      <c r="L179" s="4"/>
      <c r="M179" s="1"/>
      <c r="N179" s="1"/>
      <c r="O179" s="1"/>
      <c r="P179" s="1"/>
      <c r="Q179" s="1"/>
      <c r="R179" s="1"/>
      <c r="S179" s="1"/>
      <c r="T179" s="1"/>
      <c r="U179" s="1"/>
      <c r="V179" s="1"/>
      <c r="W179" s="5"/>
      <c r="X179" s="5"/>
      <c r="Y179" s="5"/>
      <c r="Z179" s="5"/>
      <c r="AA179" s="5"/>
      <c r="AB179" s="5"/>
      <c r="AC179" s="5"/>
      <c r="AD179" s="5"/>
      <c r="AE179" s="5"/>
      <c r="AF179" s="94"/>
      <c r="AG179" s="94"/>
      <c r="AH179" s="94"/>
      <c r="AI179" s="1"/>
      <c r="AJ179" s="1"/>
      <c r="AK179" s="1"/>
      <c r="AL179" s="1"/>
      <c r="AM179" s="94"/>
      <c r="AN179" s="94"/>
      <c r="AO179" s="94"/>
      <c r="AP179" s="94"/>
      <c r="AQ179" s="94"/>
      <c r="AR179" s="94"/>
      <c r="AS179" s="94"/>
      <c r="AT179" s="94"/>
      <c r="AU179" s="94"/>
      <c r="AV179" s="94"/>
      <c r="AW179" s="94"/>
      <c r="AX179" s="94"/>
      <c r="AY179" s="94"/>
      <c r="AZ179" s="94"/>
      <c r="BA179" s="94"/>
      <c r="BB179" s="94"/>
      <c r="BC179" s="94"/>
      <c r="BD179" s="94"/>
      <c r="BE179" s="94"/>
      <c r="BF179" s="94"/>
      <c r="BG179" s="94"/>
      <c r="BH179" s="94"/>
      <c r="BI179" s="94"/>
      <c r="BJ179" s="94"/>
      <c r="BK179" s="94"/>
      <c r="BL179" s="94"/>
      <c r="BM179" s="94"/>
      <c r="BN179" s="94"/>
      <c r="BO179" s="94"/>
      <c r="BP179" s="94"/>
      <c r="BQ179" s="94"/>
    </row>
    <row r="180" spans="1:69" x14ac:dyDescent="0.2">
      <c r="A180" s="49" t="s">
        <v>9</v>
      </c>
      <c r="B180" s="44"/>
      <c r="D180" s="10"/>
      <c r="G180" s="50"/>
      <c r="I180" s="107"/>
      <c r="U180" s="45"/>
      <c r="X180" s="5"/>
      <c r="Z180" s="5"/>
      <c r="AA180" s="5"/>
      <c r="AB180" s="5"/>
      <c r="AF180" s="45"/>
      <c r="AG180" s="114"/>
      <c r="AH180" s="114"/>
      <c r="AI180" s="50"/>
      <c r="AJ180" s="50"/>
      <c r="AK180" s="45"/>
      <c r="AL180" s="45"/>
      <c r="AM180" s="45"/>
      <c r="AN180" s="45"/>
      <c r="AO180" s="45"/>
      <c r="AP180" s="45"/>
      <c r="AQ180" s="45"/>
      <c r="AR180" s="45"/>
      <c r="AS180" s="45"/>
      <c r="AT180" s="45"/>
      <c r="AU180" s="45"/>
      <c r="AV180" s="45"/>
      <c r="AW180" s="45"/>
      <c r="AX180" s="45"/>
      <c r="AY180" s="45"/>
      <c r="AZ180" s="45"/>
      <c r="BA180" s="45"/>
      <c r="BB180" s="45"/>
      <c r="BC180" s="45"/>
      <c r="BD180" s="45"/>
      <c r="BE180" s="45"/>
      <c r="BF180" s="45"/>
      <c r="BG180" s="45"/>
      <c r="BH180" s="45"/>
      <c r="BI180" s="45"/>
      <c r="BJ180" s="45"/>
      <c r="BK180" s="45"/>
      <c r="BL180" s="45"/>
      <c r="BM180" s="45"/>
      <c r="BN180" s="45"/>
      <c r="BO180" s="45"/>
      <c r="BP180" s="45"/>
      <c r="BQ180" s="45"/>
    </row>
    <row r="181" spans="1:69" s="14" customFormat="1" x14ac:dyDescent="0.2">
      <c r="A181" s="19"/>
      <c r="C181" s="2" t="s">
        <v>2</v>
      </c>
      <c r="D181" s="10"/>
      <c r="E181" s="14" t="s">
        <v>6</v>
      </c>
      <c r="G181" s="84">
        <f>SUM(I181:AG181)</f>
        <v>1.3877787807814457E-17</v>
      </c>
      <c r="H181" s="85"/>
      <c r="I181" s="84">
        <f>ROUND(I176/$G176,4)</f>
        <v>0</v>
      </c>
      <c r="J181" s="85"/>
      <c r="K181" s="279">
        <f>'Composite FY17'!K190-'[2]Composite FY15FINAL'!K181</f>
        <v>-1.1499999999999955E-2</v>
      </c>
      <c r="L181" s="85"/>
      <c r="M181" s="279">
        <f>'Composite FY17'!M190-'[2]Composite FY15FINAL'!M181</f>
        <v>9.7000000000000003E-3</v>
      </c>
      <c r="N181" s="88"/>
      <c r="O181" s="279">
        <f>'Composite FY17'!O190-'[2]Composite FY15FINAL'!O181</f>
        <v>6.9999999999997842E-4</v>
      </c>
      <c r="P181" s="88"/>
      <c r="Q181" s="84">
        <f>ROUND(Q176/$G176,4)</f>
        <v>0</v>
      </c>
      <c r="R181" s="88"/>
      <c r="S181" s="279">
        <f>'Composite FY17'!S190-'[2]Composite FY15FINAL'!S181</f>
        <v>1.0999999999999899E-3</v>
      </c>
      <c r="T181" s="88"/>
      <c r="U181" s="88"/>
      <c r="V181" s="88"/>
      <c r="W181" s="5"/>
      <c r="X181" s="5"/>
      <c r="Y181" s="5"/>
      <c r="Z181" s="5"/>
      <c r="AA181" s="5"/>
      <c r="AB181" s="5"/>
      <c r="AC181" s="5"/>
      <c r="AD181" s="5"/>
      <c r="AE181" s="5"/>
      <c r="AF181" s="16"/>
      <c r="AG181" s="16"/>
      <c r="AH181" s="16"/>
      <c r="AI181" s="88"/>
      <c r="AJ181" s="88"/>
      <c r="AK181" s="88"/>
      <c r="AL181" s="88"/>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row>
    <row r="182" spans="1:69" s="14" customFormat="1" x14ac:dyDescent="0.2">
      <c r="A182" s="19"/>
      <c r="C182" s="3" t="s">
        <v>4</v>
      </c>
      <c r="D182" s="10"/>
      <c r="E182" s="14" t="s">
        <v>6</v>
      </c>
      <c r="G182" s="87">
        <f>SUM(I182:AG182)</f>
        <v>5.5511151231257827E-17</v>
      </c>
      <c r="H182" s="85"/>
      <c r="I182" s="84">
        <f>ROUND(I177/$G177,4)</f>
        <v>0</v>
      </c>
      <c r="J182" s="85"/>
      <c r="K182" s="279">
        <f>'Composite FY17'!K191-'[2]Composite FY15FINAL'!K182</f>
        <v>5.6000000000000494E-3</v>
      </c>
      <c r="L182" s="85"/>
      <c r="M182" s="279">
        <f>'Composite FY17'!M191-'[2]Composite FY15FINAL'!M182</f>
        <v>-9.000000000000119E-4</v>
      </c>
      <c r="N182" s="88"/>
      <c r="O182" s="279">
        <f>'Composite FY17'!O191-'[2]Composite FY15FINAL'!O182</f>
        <v>0</v>
      </c>
      <c r="P182" s="88"/>
      <c r="Q182" s="84">
        <f>ROUND(Q177/$G177,4)</f>
        <v>0</v>
      </c>
      <c r="R182" s="88"/>
      <c r="S182" s="279">
        <f>'Composite FY17'!S191-'[2]Composite FY15FINAL'!S182</f>
        <v>-4.699999999999982E-3</v>
      </c>
      <c r="T182" s="88"/>
      <c r="U182" s="88"/>
      <c r="V182" s="88"/>
      <c r="W182" s="5"/>
      <c r="X182" s="5"/>
      <c r="Y182" s="5"/>
      <c r="Z182" s="5"/>
      <c r="AA182" s="5"/>
      <c r="AB182" s="5"/>
      <c r="AC182" s="5"/>
      <c r="AD182" s="5"/>
      <c r="AE182" s="5"/>
      <c r="AF182" s="16"/>
      <c r="AG182" s="16"/>
      <c r="AH182" s="16"/>
      <c r="AI182" s="88"/>
      <c r="AJ182" s="88"/>
      <c r="AK182" s="88"/>
      <c r="AL182" s="88"/>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row>
    <row r="183" spans="1:69" s="14" customFormat="1" x14ac:dyDescent="0.2">
      <c r="A183" s="19"/>
      <c r="C183" s="2" t="s">
        <v>7</v>
      </c>
      <c r="D183" s="10"/>
      <c r="E183" s="14" t="s">
        <v>6</v>
      </c>
      <c r="G183" s="87">
        <f>SUM(I183:AG183)</f>
        <v>0</v>
      </c>
      <c r="H183" s="85"/>
      <c r="I183" s="84">
        <f>ROUND(I178/$G178,4)</f>
        <v>0</v>
      </c>
      <c r="J183" s="85"/>
      <c r="K183" s="279">
        <f>'Composite FY17'!K192-'[2]Composite FY15FINAL'!K183</f>
        <v>1.8000000000000016E-2</v>
      </c>
      <c r="L183" s="85"/>
      <c r="M183" s="279">
        <f>'Composite FY17'!M192-'[2]Composite FY15FINAL'!M183</f>
        <v>1.9999999999999185E-4</v>
      </c>
      <c r="N183" s="88"/>
      <c r="O183" s="279">
        <f>'Composite FY17'!O192-'[2]Composite FY15FINAL'!O183</f>
        <v>8.5999999999999965E-3</v>
      </c>
      <c r="P183" s="88"/>
      <c r="Q183" s="84">
        <f>ROUND(Q178/$G178,4)</f>
        <v>0</v>
      </c>
      <c r="R183" s="88"/>
      <c r="S183" s="279">
        <f>'Composite FY17'!S192-'[2]Composite FY15FINAL'!S183</f>
        <v>-2.679999999999999E-2</v>
      </c>
      <c r="T183" s="88"/>
      <c r="U183" s="88"/>
      <c r="V183" s="88"/>
      <c r="W183" s="5"/>
      <c r="X183" s="5"/>
      <c r="Y183" s="5"/>
      <c r="Z183" s="5"/>
      <c r="AA183" s="5"/>
      <c r="AB183" s="5"/>
      <c r="AC183" s="5"/>
      <c r="AD183" s="5"/>
      <c r="AE183" s="5"/>
      <c r="AF183" s="16"/>
      <c r="AG183" s="16"/>
      <c r="AH183" s="16"/>
      <c r="AI183" s="88"/>
      <c r="AJ183" s="88"/>
      <c r="AK183" s="88"/>
      <c r="AL183" s="88"/>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row>
    <row r="184" spans="1:69" s="14" customFormat="1" x14ac:dyDescent="0.2">
      <c r="A184" s="19"/>
      <c r="C184" s="51"/>
      <c r="D184" s="10"/>
      <c r="G184" s="88"/>
      <c r="H184" s="88"/>
      <c r="I184" s="88"/>
      <c r="J184" s="88"/>
      <c r="K184" s="88"/>
      <c r="L184" s="88"/>
      <c r="M184" s="88"/>
      <c r="N184" s="88"/>
      <c r="O184" s="88"/>
      <c r="P184" s="88"/>
      <c r="Q184" s="88"/>
      <c r="R184" s="88"/>
      <c r="S184" s="88"/>
      <c r="T184" s="88"/>
      <c r="U184" s="88"/>
      <c r="V184" s="88"/>
      <c r="W184" s="5"/>
      <c r="X184" s="5"/>
      <c r="Y184" s="5"/>
      <c r="Z184" s="5"/>
      <c r="AA184" s="5"/>
      <c r="AB184" s="5"/>
      <c r="AC184" s="5"/>
      <c r="AD184" s="5"/>
      <c r="AE184" s="5"/>
      <c r="AF184" s="16"/>
      <c r="AG184" s="16"/>
      <c r="AH184" s="16"/>
      <c r="AI184" s="88"/>
      <c r="AJ184" s="88"/>
      <c r="AK184" s="88"/>
      <c r="AL184" s="88"/>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row>
    <row r="185" spans="1:69" s="14" customFormat="1" x14ac:dyDescent="0.2">
      <c r="A185" s="19"/>
      <c r="C185" s="119" t="str">
        <f>C19</f>
        <v>Total Composite Factor for FY 2014</v>
      </c>
      <c r="D185" s="10"/>
      <c r="E185" s="14" t="s">
        <v>6</v>
      </c>
      <c r="G185" s="84">
        <f>SUM(I185:AG185)</f>
        <v>0</v>
      </c>
      <c r="H185" s="85"/>
      <c r="I185" s="99">
        <f>ROUND(AVERAGE(I181:I183),4)</f>
        <v>0</v>
      </c>
      <c r="J185" s="100"/>
      <c r="K185" s="279">
        <f>'Composite FY17'!K194-'[2]Composite FY15FINAL'!K185</f>
        <v>4.0000000000000036E-3</v>
      </c>
      <c r="L185" s="85"/>
      <c r="M185" s="279">
        <f>'Composite FY17'!M194-'[2]Composite FY15FINAL'!M185</f>
        <v>3.0000000000000027E-3</v>
      </c>
      <c r="N185" s="88"/>
      <c r="O185" s="279">
        <f>'Composite FY17'!O194-'[2]Composite FY15FINAL'!O185</f>
        <v>3.0999999999999917E-3</v>
      </c>
      <c r="P185" s="235"/>
      <c r="Q185" s="233">
        <f>ROUND(AVERAGE(Q181:Q183),4)</f>
        <v>0</v>
      </c>
      <c r="R185" s="235"/>
      <c r="S185" s="279">
        <f>'Composite FY17'!S194-'[2]Composite FY15FINAL'!S185</f>
        <v>-1.0099999999999998E-2</v>
      </c>
      <c r="T185" s="101"/>
      <c r="U185" s="101"/>
      <c r="V185" s="108"/>
      <c r="W185" s="5"/>
      <c r="X185" s="5"/>
      <c r="Y185" s="5"/>
      <c r="Z185" s="5"/>
      <c r="AA185" s="5"/>
      <c r="AB185" s="5"/>
      <c r="AC185" s="5"/>
      <c r="AD185" s="5"/>
      <c r="AE185" s="5"/>
      <c r="AF185" s="16"/>
      <c r="AG185" s="89"/>
      <c r="AH185" s="89"/>
      <c r="AI185" s="101"/>
      <c r="AJ185" s="101"/>
      <c r="AK185" s="101"/>
      <c r="AL185" s="101"/>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row>
    <row r="186" spans="1:69" ht="15.75" x14ac:dyDescent="0.25">
      <c r="K186" s="232" t="s">
        <v>169</v>
      </c>
      <c r="L186" s="232"/>
      <c r="M186" s="232" t="s">
        <v>170</v>
      </c>
      <c r="N186" s="231"/>
      <c r="O186" s="232" t="s">
        <v>170</v>
      </c>
      <c r="P186" s="231"/>
      <c r="Q186" s="232"/>
      <c r="R186" s="231"/>
      <c r="S186" s="232" t="s">
        <v>171</v>
      </c>
    </row>
    <row r="190" spans="1:69" ht="15.75" x14ac:dyDescent="0.25">
      <c r="A190" s="40"/>
      <c r="B190" s="6"/>
      <c r="C190" s="144" t="s">
        <v>247</v>
      </c>
      <c r="D190" s="6"/>
      <c r="E190" s="145"/>
      <c r="F190" s="145"/>
      <c r="G190" s="145"/>
      <c r="H190" s="145"/>
      <c r="I190" s="5"/>
      <c r="N190" s="5"/>
      <c r="P190" s="5"/>
      <c r="R190" s="5"/>
      <c r="T190" s="5"/>
      <c r="V190" s="5"/>
      <c r="X190" s="5"/>
      <c r="Z190" s="5"/>
      <c r="AA190" s="5"/>
      <c r="AB190" s="5"/>
    </row>
    <row r="191" spans="1:69" ht="25.5" x14ac:dyDescent="0.2">
      <c r="A191" s="42"/>
      <c r="B191" s="43"/>
      <c r="C191" s="44"/>
      <c r="D191" s="6"/>
      <c r="E191" s="20"/>
      <c r="F191" s="6"/>
      <c r="G191" s="7" t="s">
        <v>1</v>
      </c>
      <c r="H191" s="6"/>
      <c r="I191" s="81" t="s">
        <v>13</v>
      </c>
      <c r="J191" s="6"/>
      <c r="K191" s="7" t="s">
        <v>10</v>
      </c>
      <c r="L191" s="6"/>
      <c r="M191" s="7" t="s">
        <v>11</v>
      </c>
      <c r="N191" s="20"/>
      <c r="O191" s="7" t="s">
        <v>12</v>
      </c>
      <c r="P191" s="20"/>
      <c r="Q191" s="109" t="s">
        <v>82</v>
      </c>
      <c r="R191" s="20"/>
      <c r="S191" s="7" t="s">
        <v>81</v>
      </c>
      <c r="T191" s="20"/>
      <c r="U191" s="7"/>
      <c r="V191" s="20"/>
      <c r="W191" s="134"/>
      <c r="X191" s="20"/>
      <c r="Y191" s="20"/>
      <c r="Z191" s="20"/>
      <c r="AA191" s="134"/>
      <c r="AB191" s="134"/>
      <c r="AC191" s="134"/>
      <c r="AD191" s="134"/>
      <c r="AE191" s="7"/>
    </row>
    <row r="192" spans="1:69" x14ac:dyDescent="0.2">
      <c r="A192" s="200"/>
      <c r="G192" s="45"/>
      <c r="H192" s="45"/>
      <c r="I192" s="46"/>
      <c r="W192" s="45"/>
      <c r="Y192" s="45"/>
      <c r="Z192" s="114"/>
      <c r="AA192" s="114"/>
      <c r="AB192" s="114"/>
      <c r="AC192" s="45"/>
      <c r="AD192" s="45"/>
    </row>
    <row r="193" spans="1:32" x14ac:dyDescent="0.2">
      <c r="A193" s="200"/>
      <c r="B193" s="3"/>
      <c r="C193" s="2" t="s">
        <v>2</v>
      </c>
      <c r="D193" s="10"/>
      <c r="E193" s="3" t="s">
        <v>3</v>
      </c>
      <c r="F193" s="3"/>
      <c r="G193" s="201">
        <f>SUM(I193:AG193)</f>
        <v>3570780022.0099998</v>
      </c>
      <c r="H193" s="46"/>
      <c r="I193" s="110">
        <f>I10</f>
        <v>652745151.35000002</v>
      </c>
      <c r="J193" s="110"/>
      <c r="K193" s="110">
        <f t="shared" ref="K193:AF195" si="1">K10</f>
        <v>556770002.48000002</v>
      </c>
      <c r="L193" s="110"/>
      <c r="M193" s="110">
        <f t="shared" si="1"/>
        <v>220793722.37</v>
      </c>
      <c r="N193" s="110"/>
      <c r="O193" s="110">
        <f t="shared" si="1"/>
        <v>568893959.82000005</v>
      </c>
      <c r="P193" s="110"/>
      <c r="Q193" s="110">
        <f t="shared" si="1"/>
        <v>1017265170.3699999</v>
      </c>
      <c r="R193" s="110"/>
      <c r="S193" s="110">
        <f t="shared" si="1"/>
        <v>531795842.83000004</v>
      </c>
      <c r="T193" s="110"/>
      <c r="U193" s="110"/>
      <c r="V193" s="110"/>
      <c r="W193" s="110"/>
      <c r="X193" s="110"/>
      <c r="Y193" s="110"/>
      <c r="Z193" s="110"/>
      <c r="AA193" s="110"/>
      <c r="AB193" s="110"/>
      <c r="AC193" s="110"/>
      <c r="AD193" s="110">
        <f t="shared" si="1"/>
        <v>0</v>
      </c>
      <c r="AE193" s="110">
        <f t="shared" si="1"/>
        <v>22516172.789999999</v>
      </c>
      <c r="AF193" s="110">
        <f t="shared" si="1"/>
        <v>0</v>
      </c>
    </row>
    <row r="194" spans="1:32" x14ac:dyDescent="0.2">
      <c r="A194" s="200"/>
      <c r="B194" s="3"/>
      <c r="C194" s="3" t="s">
        <v>4</v>
      </c>
      <c r="D194" s="10"/>
      <c r="E194" s="3" t="s">
        <v>5</v>
      </c>
      <c r="F194" s="3"/>
      <c r="G194" s="202">
        <f>SUM(I194:AG194)</f>
        <v>1483246.4166666665</v>
      </c>
      <c r="H194" s="46"/>
      <c r="I194" s="110">
        <f>I11</f>
        <v>299655.58333333331</v>
      </c>
      <c r="J194" s="110"/>
      <c r="K194" s="110">
        <f t="shared" si="1"/>
        <v>249509.25</v>
      </c>
      <c r="L194" s="110"/>
      <c r="M194" s="110">
        <f t="shared" si="1"/>
        <v>74383.416666666672</v>
      </c>
      <c r="N194" s="110"/>
      <c r="O194" s="110">
        <f t="shared" si="1"/>
        <v>273973.91666666669</v>
      </c>
      <c r="P194" s="110"/>
      <c r="Q194" s="110">
        <f t="shared" si="1"/>
        <v>337869.5</v>
      </c>
      <c r="R194" s="110"/>
      <c r="S194" s="110">
        <f t="shared" si="1"/>
        <v>247834.75</v>
      </c>
      <c r="T194" s="110"/>
      <c r="U194" s="110"/>
      <c r="V194" s="110"/>
      <c r="W194" s="110"/>
      <c r="X194" s="110"/>
      <c r="Y194" s="110"/>
      <c r="Z194" s="110"/>
      <c r="AA194" s="110"/>
      <c r="AB194" s="110"/>
      <c r="AC194" s="110"/>
      <c r="AD194" s="110">
        <f t="shared" si="1"/>
        <v>0</v>
      </c>
      <c r="AE194" s="110">
        <f t="shared" si="1"/>
        <v>20</v>
      </c>
      <c r="AF194" s="110">
        <f t="shared" si="1"/>
        <v>0</v>
      </c>
    </row>
    <row r="195" spans="1:32" x14ac:dyDescent="0.2">
      <c r="A195" s="200"/>
      <c r="B195" s="3"/>
      <c r="C195" s="2" t="s">
        <v>15</v>
      </c>
      <c r="D195" s="10"/>
      <c r="E195" s="3" t="s">
        <v>3</v>
      </c>
      <c r="F195" s="3"/>
      <c r="G195" s="201">
        <f>SUM(I195:AG195)</f>
        <v>155112658.55000001</v>
      </c>
      <c r="H195" s="46"/>
      <c r="I195" s="110">
        <f>I12</f>
        <v>29874554.219999999</v>
      </c>
      <c r="J195" s="110"/>
      <c r="K195" s="110">
        <f t="shared" si="1"/>
        <v>26093066.919999998</v>
      </c>
      <c r="L195" s="110"/>
      <c r="M195" s="110">
        <f t="shared" si="1"/>
        <v>8919945</v>
      </c>
      <c r="N195" s="110"/>
      <c r="O195" s="110">
        <f t="shared" si="1"/>
        <v>24124493.559999999</v>
      </c>
      <c r="P195" s="110"/>
      <c r="Q195" s="110">
        <f t="shared" si="1"/>
        <v>36066524.019999996</v>
      </c>
      <c r="R195" s="110"/>
      <c r="S195" s="110">
        <f t="shared" si="1"/>
        <v>28949598.719999999</v>
      </c>
      <c r="T195" s="110"/>
      <c r="U195" s="110"/>
      <c r="V195" s="110"/>
      <c r="W195" s="110"/>
      <c r="X195" s="110"/>
      <c r="Y195" s="110"/>
      <c r="Z195" s="110"/>
      <c r="AA195" s="110"/>
      <c r="AB195" s="110"/>
      <c r="AC195" s="110"/>
      <c r="AD195" s="110">
        <f t="shared" si="1"/>
        <v>0</v>
      </c>
      <c r="AE195" s="110">
        <f t="shared" si="1"/>
        <v>1084476.1099999999</v>
      </c>
      <c r="AF195" s="110">
        <f t="shared" si="1"/>
        <v>0</v>
      </c>
    </row>
    <row r="196" spans="1:32" x14ac:dyDescent="0.2">
      <c r="A196" s="200"/>
      <c r="B196" s="3"/>
      <c r="C196" s="47" t="s">
        <v>16</v>
      </c>
      <c r="D196" s="10"/>
      <c r="E196" s="3"/>
      <c r="F196" s="3"/>
      <c r="G196" s="48"/>
      <c r="H196" s="8"/>
      <c r="I196" s="1"/>
      <c r="J196" s="4"/>
      <c r="K196" s="1"/>
      <c r="L196" s="4"/>
      <c r="M196" s="1"/>
      <c r="N196" s="1"/>
      <c r="O196" s="1"/>
      <c r="P196" s="1"/>
      <c r="Q196" s="1"/>
      <c r="R196" s="1"/>
      <c r="S196" s="1"/>
      <c r="T196" s="1"/>
      <c r="U196" s="1"/>
      <c r="V196" s="1"/>
      <c r="W196" s="18"/>
      <c r="X196" s="1"/>
      <c r="Y196" s="18"/>
      <c r="Z196" s="94"/>
      <c r="AA196" s="18"/>
      <c r="AB196" s="18"/>
      <c r="AC196" s="18"/>
      <c r="AD196" s="18"/>
      <c r="AE196" s="1"/>
    </row>
    <row r="197" spans="1:32" x14ac:dyDescent="0.2">
      <c r="A197" s="49" t="s">
        <v>9</v>
      </c>
      <c r="B197" s="44"/>
      <c r="D197" s="10"/>
      <c r="G197" s="50"/>
      <c r="I197" s="107"/>
      <c r="W197" s="45"/>
      <c r="Y197" s="45"/>
      <c r="Z197" s="114"/>
      <c r="AA197" s="114"/>
      <c r="AB197" s="114"/>
      <c r="AC197" s="45"/>
      <c r="AD197" s="45"/>
    </row>
    <row r="198" spans="1:32" x14ac:dyDescent="0.2">
      <c r="A198" s="200"/>
      <c r="B198" s="14"/>
      <c r="C198" s="2" t="s">
        <v>2</v>
      </c>
      <c r="D198" s="10"/>
      <c r="E198" s="14" t="s">
        <v>6</v>
      </c>
      <c r="F198" s="14"/>
      <c r="G198" s="84">
        <f>SUM(I198:AG198)</f>
        <v>-1.1275702593849246E-16</v>
      </c>
      <c r="H198" s="85"/>
      <c r="I198" s="279">
        <f>'Composite FY17'!I207-'[2]Composite FY15FINAL'!I198</f>
        <v>6.4999999999998392E-3</v>
      </c>
      <c r="J198" s="85"/>
      <c r="K198" s="279">
        <f>'Composite FY17'!K207-'[2]Composite FY15FINAL'!K198</f>
        <v>-7.8000000000000014E-3</v>
      </c>
      <c r="L198" s="85"/>
      <c r="M198" s="279">
        <f>'Composite FY17'!M207-'[2]Composite FY15FINAL'!M198</f>
        <v>4.4000000000000011E-3</v>
      </c>
      <c r="N198" s="88"/>
      <c r="O198" s="279">
        <f>'Composite FY17'!O207-'[2]Composite FY15FINAL'!O198</f>
        <v>-1.3999999999999846E-3</v>
      </c>
      <c r="P198" s="88"/>
      <c r="Q198" s="279">
        <f>'Composite FY17'!Q207-'[2]Composite FY15FINAL'!Q198</f>
        <v>8.0000000000002292E-4</v>
      </c>
      <c r="R198" s="88"/>
      <c r="S198" s="279">
        <f>'Composite FY17'!S207-'[2]Composite FY15FINAL'!S198</f>
        <v>-1.0999999999999899E-3</v>
      </c>
      <c r="T198" s="88"/>
      <c r="U198" s="84"/>
      <c r="V198" s="88"/>
      <c r="W198" s="88"/>
      <c r="X198" s="88"/>
      <c r="Y198" s="88"/>
      <c r="Z198" s="16"/>
      <c r="AA198" s="88"/>
      <c r="AB198" s="88"/>
      <c r="AC198" s="88"/>
      <c r="AD198" s="88"/>
      <c r="AE198" s="279">
        <f>'Composite FY17'!AE207-'[2]Composite FY15FINAL'!AE198</f>
        <v>-1.4000000000000002E-3</v>
      </c>
    </row>
    <row r="199" spans="1:32" x14ac:dyDescent="0.2">
      <c r="A199" s="200"/>
      <c r="B199" s="14"/>
      <c r="C199" s="3" t="s">
        <v>4</v>
      </c>
      <c r="D199" s="10"/>
      <c r="E199" s="14" t="s">
        <v>6</v>
      </c>
      <c r="F199" s="14"/>
      <c r="G199" s="87">
        <f>SUM(I199:AG199)</f>
        <v>-6.9388939039072284E-17</v>
      </c>
      <c r="H199" s="85"/>
      <c r="I199" s="279">
        <f>'Composite FY17'!I208-'[2]Composite FY15FINAL'!I199</f>
        <v>-1.4000000000000679E-3</v>
      </c>
      <c r="J199" s="85"/>
      <c r="K199" s="279">
        <f>'Composite FY17'!K208-'[2]Composite FY15FINAL'!K199</f>
        <v>3.0999999999999917E-3</v>
      </c>
      <c r="L199" s="85"/>
      <c r="M199" s="279">
        <f>'Composite FY17'!M208-'[2]Composite FY15FINAL'!M199</f>
        <v>-6.0000000000000331E-4</v>
      </c>
      <c r="N199" s="88"/>
      <c r="O199" s="279">
        <f>'Composite FY17'!O208-'[2]Composite FY15FINAL'!O199</f>
        <v>-2.0000000000000573E-4</v>
      </c>
      <c r="P199" s="88"/>
      <c r="Q199" s="279">
        <f>'Composite FY17'!Q208-'[2]Composite FY15FINAL'!Q199</f>
        <v>1.9000000000000128E-3</v>
      </c>
      <c r="R199" s="88"/>
      <c r="S199" s="279">
        <f>'Composite FY17'!S208-'[2]Composite FY15FINAL'!S199</f>
        <v>-2.7999999999999969E-3</v>
      </c>
      <c r="T199" s="88"/>
      <c r="U199" s="84"/>
      <c r="V199" s="88"/>
      <c r="W199" s="88"/>
      <c r="X199" s="88"/>
      <c r="Y199" s="88"/>
      <c r="Z199" s="16"/>
      <c r="AA199" s="88"/>
      <c r="AB199" s="88"/>
      <c r="AC199" s="88"/>
      <c r="AD199" s="88"/>
      <c r="AE199" s="279">
        <f>'Composite FY17'!AE208-'[2]Composite FY15FINAL'!AE199</f>
        <v>0</v>
      </c>
    </row>
    <row r="200" spans="1:32" x14ac:dyDescent="0.2">
      <c r="A200" s="200"/>
      <c r="B200" s="14"/>
      <c r="C200" s="2" t="s">
        <v>7</v>
      </c>
      <c r="D200" s="10"/>
      <c r="E200" s="14" t="s">
        <v>6</v>
      </c>
      <c r="F200" s="14"/>
      <c r="G200" s="87">
        <f>SUM(I200:AG200)</f>
        <v>1.5612511283791264E-17</v>
      </c>
      <c r="H200" s="85"/>
      <c r="I200" s="279">
        <f>'Composite FY17'!I209-'[2]Composite FY15FINAL'!I200</f>
        <v>6.8000000000000282E-3</v>
      </c>
      <c r="J200" s="85"/>
      <c r="K200" s="279">
        <f>'Composite FY17'!K209-'[2]Composite FY15FINAL'!K200</f>
        <v>9.3999999999999917E-3</v>
      </c>
      <c r="L200" s="85"/>
      <c r="M200" s="279">
        <f>'Composite FY17'!M209-'[2]Composite FY15FINAL'!M200</f>
        <v>-2.0000000000000573E-4</v>
      </c>
      <c r="N200" s="88"/>
      <c r="O200" s="279">
        <f>'Composite FY17'!O209-'[2]Composite FY15FINAL'!O200</f>
        <v>4.2000000000000093E-3</v>
      </c>
      <c r="P200" s="88"/>
      <c r="Q200" s="279">
        <f>'Composite FY17'!Q209-'[2]Composite FY15FINAL'!Q200</f>
        <v>-5.0999999999999934E-3</v>
      </c>
      <c r="R200" s="88"/>
      <c r="S200" s="279">
        <f>'Composite FY17'!S209-'[2]Composite FY15FINAL'!S200</f>
        <v>-1.6000000000000014E-2</v>
      </c>
      <c r="T200" s="88"/>
      <c r="U200" s="84"/>
      <c r="V200" s="88"/>
      <c r="W200" s="88"/>
      <c r="X200" s="88"/>
      <c r="Y200" s="88"/>
      <c r="Z200" s="16"/>
      <c r="AA200" s="88"/>
      <c r="AB200" s="88"/>
      <c r="AC200" s="88"/>
      <c r="AD200" s="88"/>
      <c r="AE200" s="279">
        <f>'Composite FY17'!AE209-'[2]Composite FY15FINAL'!AE200</f>
        <v>8.9999999999999976E-4</v>
      </c>
    </row>
    <row r="201" spans="1:32" x14ac:dyDescent="0.2">
      <c r="A201" s="200"/>
      <c r="B201" s="14"/>
      <c r="C201" s="51"/>
      <c r="D201" s="10"/>
      <c r="E201" s="14"/>
      <c r="F201" s="14"/>
      <c r="G201" s="88"/>
      <c r="H201" s="88"/>
      <c r="I201" s="89"/>
      <c r="J201" s="88"/>
      <c r="K201" s="88"/>
      <c r="L201" s="88"/>
      <c r="M201" s="88"/>
      <c r="N201" s="88"/>
      <c r="O201" s="88"/>
      <c r="P201" s="88"/>
      <c r="Q201" s="88"/>
      <c r="R201" s="88"/>
      <c r="S201" s="88"/>
      <c r="T201" s="88"/>
      <c r="U201" s="88"/>
      <c r="V201" s="88"/>
      <c r="W201" s="88"/>
      <c r="X201" s="88"/>
      <c r="Y201" s="88"/>
      <c r="Z201" s="16"/>
      <c r="AA201" s="88"/>
      <c r="AB201" s="88"/>
      <c r="AC201" s="88"/>
      <c r="AD201" s="88"/>
      <c r="AE201" s="88"/>
    </row>
    <row r="202" spans="1:32" x14ac:dyDescent="0.2">
      <c r="A202" s="200"/>
      <c r="B202" s="14"/>
      <c r="C202" s="51">
        <f>C97</f>
        <v>0</v>
      </c>
      <c r="D202" s="10"/>
      <c r="E202" s="14" t="s">
        <v>6</v>
      </c>
      <c r="F202" s="14"/>
      <c r="G202" s="84">
        <f>SUM(I202:AG202)</f>
        <v>-7.2858385991025898E-17</v>
      </c>
      <c r="H202" s="85"/>
      <c r="I202" s="279">
        <f>'Composite FY17'!I211-'[2]Composite FY15FINAL'!I202</f>
        <v>3.9999999999998925E-3</v>
      </c>
      <c r="J202" s="85"/>
      <c r="K202" s="279">
        <f>'Composite FY17'!K211-'[2]Composite FY15FINAL'!K202</f>
        <v>1.6000000000000181E-3</v>
      </c>
      <c r="L202" s="85"/>
      <c r="M202" s="279">
        <f>'Composite FY17'!M211-'[2]Composite FY15FINAL'!M202</f>
        <v>1.1999999999999997E-3</v>
      </c>
      <c r="N202" s="88"/>
      <c r="O202" s="279">
        <f>'Composite FY17'!O211-'[2]Composite FY15FINAL'!O202</f>
        <v>7.9999999999999516E-4</v>
      </c>
      <c r="P202" s="88"/>
      <c r="Q202" s="279">
        <f>'Composite FY17'!Q211-'[2]Composite FY15FINAL'!Q202</f>
        <v>-7.9999999999999516E-4</v>
      </c>
      <c r="R202" s="88"/>
      <c r="S202" s="279">
        <f>'Composite FY17'!S211-'[2]Composite FY15FINAL'!S202</f>
        <v>-6.6999999999999837E-3</v>
      </c>
      <c r="T202" s="248"/>
      <c r="U202" s="248"/>
      <c r="V202" s="236"/>
      <c r="W202" s="248"/>
      <c r="X202" s="250"/>
      <c r="Y202" s="248"/>
      <c r="Z202" s="250"/>
      <c r="AA202" s="248"/>
      <c r="AB202" s="248"/>
      <c r="AC202" s="248"/>
      <c r="AD202" s="248"/>
      <c r="AE202" s="279">
        <f>'Composite FY17'!AE211-'[2]Composite FY15FINAL'!AE202</f>
        <v>-9.9999999999999395E-5</v>
      </c>
    </row>
    <row r="203" spans="1:32" ht="15.75" x14ac:dyDescent="0.25">
      <c r="I203" s="251" t="s">
        <v>248</v>
      </c>
      <c r="J203" s="231"/>
      <c r="K203" s="231" t="s">
        <v>249</v>
      </c>
      <c r="L203" s="231"/>
      <c r="M203" s="231" t="s">
        <v>250</v>
      </c>
      <c r="N203" s="231"/>
      <c r="O203" s="231" t="s">
        <v>250</v>
      </c>
      <c r="P203" s="231"/>
      <c r="Q203" s="231" t="s">
        <v>251</v>
      </c>
      <c r="R203" s="231"/>
      <c r="S203" s="231" t="s">
        <v>252</v>
      </c>
      <c r="T203" s="231"/>
      <c r="U203" s="252"/>
      <c r="V203" s="231"/>
      <c r="W203" s="231"/>
      <c r="X203" s="231"/>
      <c r="Y203" s="231"/>
      <c r="Z203" s="231"/>
      <c r="AA203" s="231"/>
      <c r="AB203" s="231"/>
      <c r="AC203" s="231"/>
      <c r="AD203" s="231"/>
      <c r="AE203" s="231" t="s">
        <v>253</v>
      </c>
    </row>
    <row r="207" spans="1:32" x14ac:dyDescent="0.2">
      <c r="C207" s="131" t="s">
        <v>320</v>
      </c>
      <c r="Z207" s="6"/>
      <c r="AA207" s="6"/>
      <c r="AB207" s="6"/>
      <c r="AC207" s="6"/>
      <c r="AD207" s="6"/>
      <c r="AE207" s="6"/>
    </row>
    <row r="208" spans="1:32" x14ac:dyDescent="0.2">
      <c r="E208" s="20"/>
      <c r="F208" s="6"/>
      <c r="G208" s="7" t="s">
        <v>1</v>
      </c>
      <c r="W208" s="134"/>
      <c r="X208" s="20"/>
      <c r="Y208" s="20"/>
      <c r="Z208" s="20"/>
      <c r="AA208" s="134"/>
      <c r="AB208" s="134"/>
      <c r="AC208" s="134"/>
      <c r="AD208" s="134"/>
      <c r="AE208" s="20"/>
    </row>
    <row r="209" spans="5:31" x14ac:dyDescent="0.2">
      <c r="G209" s="45"/>
      <c r="W209" s="45"/>
      <c r="Y209" s="45"/>
      <c r="Z209" s="114"/>
      <c r="AA209" s="114"/>
      <c r="AB209" s="114"/>
      <c r="AC209" s="45"/>
      <c r="AD209" s="45"/>
      <c r="AE209" s="45"/>
    </row>
    <row r="210" spans="5:31" x14ac:dyDescent="0.2">
      <c r="E210" s="3" t="s">
        <v>3</v>
      </c>
      <c r="F210" s="3"/>
      <c r="G210" s="201">
        <f>SUM(I210:AG210)</f>
        <v>2003311901.4400001</v>
      </c>
      <c r="W210" s="110">
        <f>W10</f>
        <v>1980795728.6500001</v>
      </c>
      <c r="X210" s="46"/>
      <c r="Y210" s="46"/>
      <c r="Z210" s="46"/>
      <c r="AA210" s="46"/>
      <c r="AB210" s="46"/>
      <c r="AC210" s="46"/>
      <c r="AD210" s="46"/>
      <c r="AE210" s="110">
        <f>AE10</f>
        <v>22516172.789999999</v>
      </c>
    </row>
    <row r="211" spans="5:31" x14ac:dyDescent="0.2">
      <c r="E211" s="3" t="s">
        <v>5</v>
      </c>
      <c r="F211" s="3"/>
      <c r="G211" s="202">
        <f>SUM(I211:AG211)</f>
        <v>335.75</v>
      </c>
      <c r="W211" s="110">
        <f>W11</f>
        <v>315.75</v>
      </c>
      <c r="X211" s="46"/>
      <c r="Y211" s="46"/>
      <c r="Z211" s="46"/>
      <c r="AA211" s="46"/>
      <c r="AB211" s="46"/>
      <c r="AC211" s="46"/>
      <c r="AD211" s="46"/>
      <c r="AE211" s="110">
        <f>AE11</f>
        <v>20</v>
      </c>
    </row>
    <row r="212" spans="5:31" x14ac:dyDescent="0.2">
      <c r="E212" s="3" t="s">
        <v>3</v>
      </c>
      <c r="F212" s="3"/>
      <c r="G212" s="201">
        <f>SUM(I212:AG212)</f>
        <v>107781587.12</v>
      </c>
      <c r="W212" s="110">
        <f>W12</f>
        <v>106697111.01000001</v>
      </c>
      <c r="X212" s="46"/>
      <c r="Y212" s="46"/>
      <c r="Z212" s="46"/>
      <c r="AA212" s="46"/>
      <c r="AB212" s="46"/>
      <c r="AC212" s="46"/>
      <c r="AD212" s="46"/>
      <c r="AE212" s="110">
        <f>AE12</f>
        <v>1084476.1099999999</v>
      </c>
    </row>
    <row r="213" spans="5:31" x14ac:dyDescent="0.2">
      <c r="E213" s="3"/>
      <c r="F213" s="3"/>
      <c r="G213" s="48"/>
      <c r="W213" s="18"/>
      <c r="X213" s="1"/>
      <c r="Y213" s="18"/>
      <c r="Z213" s="94"/>
      <c r="AA213" s="18"/>
      <c r="AB213" s="18"/>
      <c r="AC213" s="18"/>
      <c r="AD213" s="18"/>
      <c r="AE213" s="18"/>
    </row>
    <row r="214" spans="5:31" x14ac:dyDescent="0.2">
      <c r="G214" s="50"/>
      <c r="Y214" s="45"/>
      <c r="Z214" s="114"/>
      <c r="AA214" s="114"/>
      <c r="AB214" s="114"/>
      <c r="AC214" s="45"/>
      <c r="AD214" s="45"/>
    </row>
    <row r="215" spans="5:31" x14ac:dyDescent="0.2">
      <c r="E215" s="14" t="s">
        <v>6</v>
      </c>
      <c r="F215" s="14"/>
      <c r="G215" s="84">
        <f>SUM(I215:AG215)</f>
        <v>-6.2450045135165055E-17</v>
      </c>
      <c r="W215" s="279">
        <f>'Composite FY17'!W224-'[2]Composite FY15FINAL'!W215</f>
        <v>4.7504461602426717E-3</v>
      </c>
      <c r="X215" s="88"/>
      <c r="Y215" s="88"/>
      <c r="Z215" s="16"/>
      <c r="AA215" s="88"/>
      <c r="AB215" s="88"/>
      <c r="AC215" s="88"/>
      <c r="AD215" s="88"/>
      <c r="AE215" s="279">
        <f>'Composite FY17'!AE224-'[2]Composite FY15FINAL'!AE215</f>
        <v>-4.7504461602427342E-3</v>
      </c>
    </row>
    <row r="216" spans="5:31" x14ac:dyDescent="0.2">
      <c r="E216" s="14" t="s">
        <v>6</v>
      </c>
      <c r="F216" s="14"/>
      <c r="G216" s="87">
        <f>SUM(I216:AG216)</f>
        <v>3.4694469519536142E-17</v>
      </c>
      <c r="W216" s="279">
        <f>'Composite FY17'!W225-'[2]Composite FY15FINAL'!W216</f>
        <v>1.921373971584095E-3</v>
      </c>
      <c r="X216" s="88"/>
      <c r="Y216" s="88"/>
      <c r="Z216" s="16"/>
      <c r="AA216" s="88"/>
      <c r="AB216" s="88"/>
      <c r="AC216" s="88"/>
      <c r="AD216" s="88"/>
      <c r="AE216" s="279">
        <f>'Composite FY17'!AE225-'[2]Composite FY15FINAL'!AE216</f>
        <v>-1.9213739715840603E-3</v>
      </c>
    </row>
    <row r="217" spans="5:31" x14ac:dyDescent="0.2">
      <c r="E217" s="14" t="s">
        <v>6</v>
      </c>
      <c r="F217" s="14"/>
      <c r="G217" s="87">
        <f>SUM(I217:AG217)</f>
        <v>4.8572257327350599E-17</v>
      </c>
      <c r="W217" s="279">
        <f>'Composite FY17'!W226-'[2]Composite FY15FINAL'!W217</f>
        <v>2.6918939333266945E-3</v>
      </c>
      <c r="X217" s="88"/>
      <c r="Y217" s="88"/>
      <c r="Z217" s="16"/>
      <c r="AA217" s="88"/>
      <c r="AB217" s="88"/>
      <c r="AC217" s="88"/>
      <c r="AD217" s="88"/>
      <c r="AE217" s="279">
        <f>'Composite FY17'!AE226-'[2]Composite FY15FINAL'!AE217</f>
        <v>-2.6918939333266459E-3</v>
      </c>
    </row>
    <row r="218" spans="5:31" x14ac:dyDescent="0.2">
      <c r="E218" s="14"/>
      <c r="F218" s="14"/>
      <c r="G218" s="88"/>
      <c r="W218" s="88"/>
      <c r="X218" s="88"/>
      <c r="Y218" s="88"/>
      <c r="Z218" s="16"/>
      <c r="AA218" s="88"/>
      <c r="AB218" s="88"/>
      <c r="AC218" s="88"/>
      <c r="AD218" s="88"/>
      <c r="AE218" s="88"/>
    </row>
    <row r="219" spans="5:31" x14ac:dyDescent="0.2">
      <c r="E219" s="14" t="s">
        <v>6</v>
      </c>
      <c r="F219" s="14"/>
      <c r="G219" s="84">
        <f>SUM(I219:AG219)</f>
        <v>-6.9388939039072284E-18</v>
      </c>
      <c r="W219" s="279">
        <f>'Composite FY17'!W228-'[2]Composite FY15FINAL'!W219</f>
        <v>3.0999999999999917E-3</v>
      </c>
      <c r="X219" s="89"/>
      <c r="Y219" s="101"/>
      <c r="Z219" s="89"/>
      <c r="AA219" s="101"/>
      <c r="AB219" s="101"/>
      <c r="AC219" s="101"/>
      <c r="AD219" s="101"/>
      <c r="AE219" s="279">
        <f>'Composite FY17'!AE228-'[2]Composite FY15FINAL'!AE219</f>
        <v>-3.0999999999999986E-3</v>
      </c>
    </row>
  </sheetData>
  <pageMargins left="0.41" right="0.2" top="0.25" bottom="0.57999999999999996" header="0.38" footer="0.33"/>
  <pageSetup paperSize="5" scale="57" fitToHeight="0" orientation="landscape" horizontalDpi="4294967294" verticalDpi="4294967294" r:id="rId1"/>
  <headerFooter alignWithMargins="0">
    <oddFooter>Page &amp;P&amp;R&amp;Z&amp;F</oddFooter>
  </headerFooter>
  <rowBreaks count="2" manualBreakCount="2">
    <brk id="53" max="16383" man="1"/>
    <brk id="139"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C00000"/>
    <pageSetUpPr fitToPage="1"/>
  </sheetPr>
  <dimension ref="A1:R33"/>
  <sheetViews>
    <sheetView workbookViewId="0">
      <selection activeCell="O11" sqref="O11"/>
    </sheetView>
  </sheetViews>
  <sheetFormatPr defaultColWidth="9.140625" defaultRowHeight="12.75" x14ac:dyDescent="0.2"/>
  <cols>
    <col min="1" max="1" width="6.140625" style="10" customWidth="1"/>
    <col min="2" max="2" width="24.5703125" style="10" customWidth="1"/>
    <col min="3" max="3" width="16.5703125" style="10" bestFit="1" customWidth="1"/>
    <col min="4" max="4" width="12.42578125" style="10" customWidth="1"/>
    <col min="5" max="5" width="15.42578125" style="10" customWidth="1"/>
    <col min="6" max="6" width="15.7109375" style="10" customWidth="1"/>
    <col min="7" max="7" width="13.28515625" style="10" customWidth="1"/>
    <col min="8" max="8" width="11.42578125" style="10" customWidth="1"/>
    <col min="9" max="9" width="11.5703125" style="10" customWidth="1"/>
    <col min="10" max="10" width="15.140625" style="10" customWidth="1"/>
    <col min="11" max="11" width="7.5703125" style="10" bestFit="1" customWidth="1"/>
    <col min="12" max="12" width="13" style="10" customWidth="1"/>
    <col min="13" max="13" width="19.28515625" style="10" bestFit="1" customWidth="1"/>
    <col min="14" max="16384" width="9.140625" style="10"/>
  </cols>
  <sheetData>
    <row r="1" spans="1:18" ht="14.25" x14ac:dyDescent="0.2">
      <c r="A1" s="432" t="s">
        <v>17</v>
      </c>
      <c r="B1" s="432"/>
      <c r="C1" s="432"/>
      <c r="D1" s="432"/>
      <c r="E1" s="432"/>
      <c r="F1" s="432"/>
      <c r="G1" s="432"/>
      <c r="H1" s="432"/>
      <c r="I1" s="432"/>
      <c r="J1" s="432"/>
      <c r="K1" s="392"/>
      <c r="L1" s="394" t="s">
        <v>427</v>
      </c>
      <c r="M1" s="392"/>
    </row>
    <row r="2" spans="1:18" ht="14.25" x14ac:dyDescent="0.2">
      <c r="A2" s="432" t="s">
        <v>29</v>
      </c>
      <c r="B2" s="432"/>
      <c r="C2" s="432"/>
      <c r="D2" s="432"/>
      <c r="E2" s="432"/>
      <c r="F2" s="432"/>
      <c r="G2" s="432"/>
      <c r="H2" s="432"/>
      <c r="I2" s="432"/>
      <c r="J2" s="432"/>
    </row>
    <row r="3" spans="1:18" ht="14.25" x14ac:dyDescent="0.2">
      <c r="A3" s="433" t="s">
        <v>30</v>
      </c>
      <c r="B3" s="432"/>
      <c r="C3" s="432"/>
      <c r="D3" s="432"/>
      <c r="E3" s="432"/>
      <c r="F3" s="432"/>
      <c r="G3" s="432"/>
      <c r="H3" s="432"/>
      <c r="I3" s="432"/>
      <c r="J3" s="432"/>
    </row>
    <row r="4" spans="1:18" ht="14.25" x14ac:dyDescent="0.2">
      <c r="A4" s="432" t="s">
        <v>325</v>
      </c>
      <c r="B4" s="432"/>
      <c r="C4" s="432"/>
      <c r="D4" s="432"/>
      <c r="E4" s="432"/>
      <c r="F4" s="432"/>
      <c r="G4" s="432"/>
      <c r="H4" s="432"/>
      <c r="I4" s="432"/>
      <c r="J4" s="432"/>
    </row>
    <row r="7" spans="1:18" ht="38.25" x14ac:dyDescent="0.2">
      <c r="A7" s="57" t="s">
        <v>31</v>
      </c>
      <c r="B7" s="57" t="s">
        <v>32</v>
      </c>
      <c r="C7" s="153" t="s">
        <v>365</v>
      </c>
      <c r="D7" s="58" t="s">
        <v>33</v>
      </c>
      <c r="E7" s="153" t="s">
        <v>366</v>
      </c>
      <c r="F7" s="58" t="s">
        <v>34</v>
      </c>
      <c r="G7" s="153" t="s">
        <v>367</v>
      </c>
      <c r="H7" s="58" t="s">
        <v>35</v>
      </c>
      <c r="I7" s="197" t="s">
        <v>374</v>
      </c>
      <c r="J7" s="59" t="s">
        <v>36</v>
      </c>
      <c r="K7" s="197" t="s">
        <v>372</v>
      </c>
      <c r="L7" s="372"/>
      <c r="M7" s="372"/>
    </row>
    <row r="8" spans="1:18" x14ac:dyDescent="0.2">
      <c r="B8" s="60"/>
      <c r="C8" s="61" t="s">
        <v>37</v>
      </c>
      <c r="D8" s="62" t="s">
        <v>38</v>
      </c>
      <c r="E8" s="62" t="s">
        <v>39</v>
      </c>
      <c r="F8" s="62" t="s">
        <v>40</v>
      </c>
      <c r="G8" s="62" t="s">
        <v>41</v>
      </c>
      <c r="H8" s="62" t="s">
        <v>42</v>
      </c>
      <c r="I8" s="62"/>
      <c r="J8" s="63" t="s">
        <v>43</v>
      </c>
      <c r="K8" s="73"/>
      <c r="L8" s="73"/>
    </row>
    <row r="9" spans="1:18" x14ac:dyDescent="0.2">
      <c r="J9" s="64"/>
      <c r="L9" s="44" t="s">
        <v>385</v>
      </c>
      <c r="M9" s="44" t="s">
        <v>386</v>
      </c>
    </row>
    <row r="10" spans="1:18" x14ac:dyDescent="0.2">
      <c r="A10" s="189" t="s">
        <v>28</v>
      </c>
      <c r="B10" s="10" t="s">
        <v>46</v>
      </c>
      <c r="C10" s="70">
        <v>523914609.56</v>
      </c>
      <c r="D10" s="257">
        <f>+C10/$C$15*100</f>
        <v>47.410740960982146</v>
      </c>
      <c r="E10" s="122">
        <v>14584340</v>
      </c>
      <c r="F10" s="66">
        <f>+E10/$E$15*100</f>
        <v>51.459480533925998</v>
      </c>
      <c r="G10" s="70">
        <v>175300</v>
      </c>
      <c r="H10" s="67">
        <f>+G10/$G$15*100</f>
        <v>51.883860656465508</v>
      </c>
      <c r="I10" s="193" t="s">
        <v>237</v>
      </c>
      <c r="J10" s="68">
        <f>(D10+F10+H10)/3</f>
        <v>50.251360717124555</v>
      </c>
      <c r="K10" s="44" t="s">
        <v>240</v>
      </c>
      <c r="L10" s="193">
        <f>ROUND(H10,2)</f>
        <v>51.88</v>
      </c>
      <c r="M10" s="67">
        <f>ROUND(J10,2)</f>
        <v>50.25</v>
      </c>
    </row>
    <row r="11" spans="1:18" x14ac:dyDescent="0.2">
      <c r="A11" s="69">
        <v>93</v>
      </c>
      <c r="B11" s="10" t="s">
        <v>44</v>
      </c>
      <c r="C11" s="397">
        <f>488567203+544441.93+3852534.72</f>
        <v>492964179.65000004</v>
      </c>
      <c r="D11" s="257">
        <f>+C11/$C$15*100</f>
        <v>44.609935661190264</v>
      </c>
      <c r="E11" s="122">
        <v>11243940.029999999</v>
      </c>
      <c r="F11" s="66">
        <f>+E11/$E$15*100</f>
        <v>39.673191457303943</v>
      </c>
      <c r="G11" s="122">
        <v>139707</v>
      </c>
      <c r="H11" s="67">
        <f>+G11/$G$15*100</f>
        <v>41.349335543256281</v>
      </c>
      <c r="I11" s="193" t="s">
        <v>238</v>
      </c>
      <c r="J11" s="68">
        <f>(D11+F11+H11)/3</f>
        <v>41.877487553916829</v>
      </c>
      <c r="K11" s="44" t="s">
        <v>241</v>
      </c>
      <c r="L11" s="193">
        <f t="shared" ref="L11:L12" si="0">ROUND(H11,2)</f>
        <v>41.35</v>
      </c>
      <c r="M11" s="67">
        <f t="shared" ref="M11:M12" si="1">ROUND(J11,2)</f>
        <v>41.88</v>
      </c>
      <c r="O11" s="435">
        <f>J11/100</f>
        <v>0.41877487553916831</v>
      </c>
    </row>
    <row r="12" spans="1:18" x14ac:dyDescent="0.2">
      <c r="A12" s="69">
        <v>96</v>
      </c>
      <c r="B12" s="10" t="s">
        <v>45</v>
      </c>
      <c r="C12" s="70">
        <v>88175886.040000007</v>
      </c>
      <c r="D12" s="257">
        <f>+C12/$C$15*100</f>
        <v>7.9793233778275905</v>
      </c>
      <c r="E12" s="122">
        <v>2513125.38</v>
      </c>
      <c r="F12" s="66">
        <f>+E12/$E$15*100</f>
        <v>8.8673280087700501</v>
      </c>
      <c r="G12" s="122">
        <v>22863</v>
      </c>
      <c r="H12" s="67">
        <f>+G12/$G$15*100</f>
        <v>6.7668038002782138</v>
      </c>
      <c r="I12" s="193" t="s">
        <v>239</v>
      </c>
      <c r="J12" s="68">
        <f>(D12+F12+H12)/3</f>
        <v>7.871151728958619</v>
      </c>
      <c r="K12" s="44" t="s">
        <v>242</v>
      </c>
      <c r="L12" s="193">
        <f t="shared" si="0"/>
        <v>6.77</v>
      </c>
      <c r="M12" s="67">
        <f t="shared" si="1"/>
        <v>7.87</v>
      </c>
    </row>
    <row r="13" spans="1:18" x14ac:dyDescent="0.2">
      <c r="A13" s="69"/>
      <c r="C13" s="123"/>
      <c r="D13" s="76"/>
      <c r="E13" s="71"/>
      <c r="F13" s="78"/>
      <c r="G13" s="72"/>
      <c r="H13" s="124"/>
      <c r="I13" s="124"/>
      <c r="J13" s="125"/>
      <c r="M13" s="68"/>
      <c r="N13" s="68"/>
      <c r="R13" s="190"/>
    </row>
    <row r="14" spans="1:18" x14ac:dyDescent="0.2">
      <c r="C14" s="128"/>
      <c r="E14" s="36"/>
      <c r="F14" s="66"/>
      <c r="G14" s="70"/>
      <c r="J14" s="68"/>
    </row>
    <row r="15" spans="1:18" x14ac:dyDescent="0.2">
      <c r="B15" s="10" t="s">
        <v>1</v>
      </c>
      <c r="C15" s="120">
        <f>SUM(C10:C12)</f>
        <v>1105054675.25</v>
      </c>
      <c r="D15" s="128">
        <f t="shared" ref="D15:H15" si="2">SUM(D10:D12)</f>
        <v>100</v>
      </c>
      <c r="E15" s="128">
        <f>SUM(E10:E12)</f>
        <v>28341405.41</v>
      </c>
      <c r="F15" s="128">
        <f t="shared" si="2"/>
        <v>99.999999999999986</v>
      </c>
      <c r="G15" s="70">
        <f>SUM(G10:G12)</f>
        <v>337870</v>
      </c>
      <c r="H15" s="128">
        <f t="shared" si="2"/>
        <v>100</v>
      </c>
      <c r="I15" s="128"/>
      <c r="J15" s="128">
        <f>SUM(J10:J12)</f>
        <v>100.00000000000001</v>
      </c>
    </row>
    <row r="16" spans="1:18" x14ac:dyDescent="0.2">
      <c r="C16" s="120"/>
      <c r="E16" s="65"/>
    </row>
    <row r="17" spans="2:7" x14ac:dyDescent="0.2">
      <c r="B17" s="154" t="s">
        <v>201</v>
      </c>
      <c r="C17" s="120">
        <f>1104562136.48+544441.93</f>
        <v>1105106578.4100001</v>
      </c>
      <c r="D17" s="120"/>
      <c r="E17" s="120">
        <v>37372889.039999999</v>
      </c>
      <c r="F17" s="120"/>
      <c r="G17" s="256">
        <v>337870</v>
      </c>
    </row>
    <row r="18" spans="2:7" x14ac:dyDescent="0.2">
      <c r="B18" s="154"/>
      <c r="C18" s="120"/>
      <c r="D18" s="120"/>
      <c r="E18" s="120"/>
      <c r="F18" s="120"/>
      <c r="G18" s="120"/>
    </row>
    <row r="19" spans="2:7" x14ac:dyDescent="0.2">
      <c r="B19" s="154" t="s">
        <v>199</v>
      </c>
      <c r="C19" s="120">
        <f>C17-C15</f>
        <v>51903.160000085831</v>
      </c>
      <c r="D19" s="120"/>
      <c r="E19" s="120">
        <f>E17-E15</f>
        <v>9031483.629999999</v>
      </c>
      <c r="F19" s="120"/>
      <c r="G19" s="120">
        <f>G15-G17</f>
        <v>0</v>
      </c>
    </row>
    <row r="20" spans="2:7" x14ac:dyDescent="0.2">
      <c r="B20" s="154" t="s">
        <v>197</v>
      </c>
      <c r="C20" s="120">
        <v>3838256.71</v>
      </c>
      <c r="D20" s="142"/>
      <c r="E20" s="120">
        <v>9048255.5299999993</v>
      </c>
      <c r="G20" s="120"/>
    </row>
    <row r="21" spans="2:7" x14ac:dyDescent="0.2">
      <c r="B21" s="154" t="s">
        <v>198</v>
      </c>
      <c r="C21" s="120">
        <f>C19-C20</f>
        <v>-3786353.5499999141</v>
      </c>
      <c r="E21" s="36">
        <f>E19-E20</f>
        <v>-16771.900000000373</v>
      </c>
      <c r="G21" s="70"/>
    </row>
    <row r="22" spans="2:7" x14ac:dyDescent="0.2">
      <c r="B22" s="154" t="s">
        <v>200</v>
      </c>
      <c r="C22" s="120">
        <v>66181.17</v>
      </c>
      <c r="E22" s="120">
        <v>-16771.900000000001</v>
      </c>
      <c r="F22" s="142"/>
    </row>
    <row r="23" spans="2:7" x14ac:dyDescent="0.2">
      <c r="B23" s="154" t="s">
        <v>199</v>
      </c>
      <c r="C23" s="120">
        <f>C21-C22</f>
        <v>-3852534.7199999141</v>
      </c>
      <c r="E23" s="120">
        <f>E21-E22</f>
        <v>-3.7107383832335472E-10</v>
      </c>
      <c r="F23" s="44"/>
    </row>
    <row r="24" spans="2:7" x14ac:dyDescent="0.2">
      <c r="B24" s="154"/>
      <c r="C24" s="120"/>
      <c r="E24" s="120"/>
      <c r="F24" s="44"/>
    </row>
    <row r="25" spans="2:7" x14ac:dyDescent="0.2">
      <c r="B25" s="154"/>
      <c r="C25" s="120"/>
      <c r="E25" s="120"/>
    </row>
    <row r="26" spans="2:7" x14ac:dyDescent="0.2">
      <c r="B26" s="154"/>
      <c r="C26" s="120">
        <f>C17-'Composite FY17'!Q10</f>
        <v>-3852534.7200000286</v>
      </c>
      <c r="E26" s="120"/>
      <c r="F26" s="44"/>
    </row>
    <row r="27" spans="2:7" x14ac:dyDescent="0.2">
      <c r="B27" s="154"/>
      <c r="C27" s="120"/>
      <c r="E27" s="120"/>
    </row>
    <row r="28" spans="2:7" x14ac:dyDescent="0.2">
      <c r="B28" s="154"/>
      <c r="C28" s="120"/>
      <c r="E28" s="120"/>
    </row>
    <row r="29" spans="2:7" x14ac:dyDescent="0.2">
      <c r="B29" s="154"/>
      <c r="C29" s="120"/>
      <c r="E29" s="120"/>
    </row>
    <row r="30" spans="2:7" x14ac:dyDescent="0.2">
      <c r="B30" s="154"/>
      <c r="C30" s="120"/>
      <c r="E30" s="120"/>
    </row>
    <row r="31" spans="2:7" x14ac:dyDescent="0.2">
      <c r="B31" s="154"/>
      <c r="C31" s="120"/>
      <c r="E31" s="120"/>
    </row>
    <row r="32" spans="2:7" x14ac:dyDescent="0.2">
      <c r="B32" s="154"/>
      <c r="C32" s="120"/>
    </row>
    <row r="33" spans="2:5" x14ac:dyDescent="0.2">
      <c r="B33" s="154"/>
      <c r="C33" s="120"/>
      <c r="E33" s="120"/>
    </row>
  </sheetData>
  <mergeCells count="4">
    <mergeCell ref="A1:J1"/>
    <mergeCell ref="A2:J2"/>
    <mergeCell ref="A3:J3"/>
    <mergeCell ref="A4:J4"/>
  </mergeCells>
  <phoneticPr fontId="0" type="noConversion"/>
  <pageMargins left="0.59" right="0.54" top="1" bottom="1" header="0.5" footer="0.5"/>
  <pageSetup scale="70" orientation="landscape" horizontalDpi="4294967294" verticalDpi="4294967294" r:id="rId1"/>
  <headerFooter alignWithMargins="0">
    <oddFooter>&amp;L&amp;"Times New Roman,Italic"&amp;9General Accounting&amp;R&amp;"Times New Roman,Italic"&amp;9&amp;T&amp;D</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C00000"/>
    <pageSetUpPr fitToPage="1"/>
  </sheetPr>
  <dimension ref="A1:M30"/>
  <sheetViews>
    <sheetView workbookViewId="0">
      <selection activeCell="A5" sqref="A5"/>
    </sheetView>
  </sheetViews>
  <sheetFormatPr defaultColWidth="9.140625" defaultRowHeight="12.75" x14ac:dyDescent="0.2"/>
  <cols>
    <col min="1" max="1" width="6.5703125" style="10" customWidth="1"/>
    <col min="2" max="2" width="23.28515625" style="10" customWidth="1"/>
    <col min="3" max="3" width="16.85546875" style="10" customWidth="1"/>
    <col min="4" max="4" width="13.42578125" style="10" customWidth="1"/>
    <col min="5" max="5" width="14.7109375" style="10" customWidth="1"/>
    <col min="6" max="6" width="13.7109375" style="10" customWidth="1"/>
    <col min="7" max="7" width="13.28515625" style="10" customWidth="1"/>
    <col min="8" max="8" width="11.42578125" style="10" customWidth="1"/>
    <col min="9" max="9" width="10.140625" style="10" bestFit="1" customWidth="1"/>
    <col min="10" max="10" width="12.42578125" style="10" customWidth="1"/>
    <col min="11" max="11" width="7.5703125" style="10" bestFit="1" customWidth="1"/>
    <col min="12" max="12" width="10.28515625" style="10" bestFit="1" customWidth="1"/>
    <col min="13" max="13" width="12.7109375" style="10" bestFit="1" customWidth="1"/>
    <col min="14" max="16384" width="9.140625" style="10"/>
  </cols>
  <sheetData>
    <row r="1" spans="1:13" ht="14.25" x14ac:dyDescent="0.2">
      <c r="A1" s="432" t="s">
        <v>17</v>
      </c>
      <c r="B1" s="432"/>
      <c r="C1" s="432"/>
      <c r="D1" s="432"/>
      <c r="E1" s="432"/>
      <c r="F1" s="432"/>
      <c r="G1" s="432"/>
      <c r="H1" s="432"/>
      <c r="I1" s="432"/>
      <c r="J1" s="432"/>
      <c r="K1" s="432"/>
    </row>
    <row r="2" spans="1:13" ht="14.25" x14ac:dyDescent="0.2">
      <c r="A2" s="432" t="s">
        <v>47</v>
      </c>
      <c r="B2" s="432"/>
      <c r="C2" s="432"/>
      <c r="D2" s="432"/>
      <c r="E2" s="432"/>
      <c r="F2" s="432"/>
      <c r="G2" s="432"/>
      <c r="H2" s="432"/>
      <c r="I2" s="432"/>
      <c r="J2" s="432"/>
      <c r="K2" s="432"/>
    </row>
    <row r="3" spans="1:13" ht="14.25" x14ac:dyDescent="0.2">
      <c r="A3" s="432" t="s">
        <v>48</v>
      </c>
      <c r="B3" s="432"/>
      <c r="C3" s="432"/>
      <c r="D3" s="432"/>
      <c r="E3" s="432"/>
      <c r="F3" s="432"/>
      <c r="G3" s="432"/>
      <c r="H3" s="432"/>
      <c r="I3" s="432"/>
      <c r="J3" s="432"/>
      <c r="K3" s="432"/>
    </row>
    <row r="4" spans="1:13" ht="14.25" x14ac:dyDescent="0.2">
      <c r="A4" s="432" t="s">
        <v>325</v>
      </c>
      <c r="B4" s="432"/>
      <c r="C4" s="432"/>
      <c r="D4" s="432"/>
      <c r="E4" s="432"/>
      <c r="F4" s="432"/>
      <c r="G4" s="432"/>
      <c r="H4" s="432"/>
      <c r="I4" s="432"/>
      <c r="J4" s="432"/>
      <c r="K4" s="432"/>
    </row>
    <row r="6" spans="1:13" x14ac:dyDescent="0.2">
      <c r="H6" s="64" t="s">
        <v>73</v>
      </c>
      <c r="I6" s="64"/>
      <c r="J6" s="64" t="s">
        <v>74</v>
      </c>
    </row>
    <row r="7" spans="1:13" ht="38.25" x14ac:dyDescent="0.2">
      <c r="A7" s="57" t="s">
        <v>31</v>
      </c>
      <c r="B7" s="57" t="s">
        <v>32</v>
      </c>
      <c r="C7" s="153" t="s">
        <v>365</v>
      </c>
      <c r="D7" s="58" t="s">
        <v>75</v>
      </c>
      <c r="E7" s="153" t="s">
        <v>366</v>
      </c>
      <c r="F7" s="58" t="s">
        <v>76</v>
      </c>
      <c r="G7" s="153" t="s">
        <v>368</v>
      </c>
      <c r="H7" s="59" t="s">
        <v>77</v>
      </c>
      <c r="I7" s="197" t="s">
        <v>374</v>
      </c>
      <c r="J7" s="59" t="s">
        <v>49</v>
      </c>
      <c r="K7" s="197" t="s">
        <v>372</v>
      </c>
    </row>
    <row r="8" spans="1:13" x14ac:dyDescent="0.2">
      <c r="B8" s="60"/>
      <c r="C8" s="61" t="s">
        <v>37</v>
      </c>
      <c r="D8" s="62" t="s">
        <v>38</v>
      </c>
      <c r="E8" s="62" t="s">
        <v>39</v>
      </c>
      <c r="F8" s="62" t="s">
        <v>40</v>
      </c>
      <c r="G8" s="62" t="s">
        <v>41</v>
      </c>
      <c r="H8" s="63" t="s">
        <v>42</v>
      </c>
      <c r="I8" s="62"/>
      <c r="J8" s="63" t="s">
        <v>43</v>
      </c>
      <c r="K8" s="73"/>
    </row>
    <row r="9" spans="1:13" x14ac:dyDescent="0.2">
      <c r="H9" s="64"/>
      <c r="J9" s="64"/>
    </row>
    <row r="10" spans="1:13" x14ac:dyDescent="0.2">
      <c r="H10" s="64"/>
      <c r="J10" s="64"/>
      <c r="L10" s="44" t="s">
        <v>383</v>
      </c>
      <c r="M10" s="44" t="s">
        <v>384</v>
      </c>
    </row>
    <row r="11" spans="1:13" x14ac:dyDescent="0.2">
      <c r="A11" s="69">
        <v>31</v>
      </c>
      <c r="B11" s="10" t="s">
        <v>50</v>
      </c>
      <c r="C11" s="120">
        <f>'COdiv 2017'!C16</f>
        <v>243097738.81</v>
      </c>
      <c r="D11" s="115">
        <f>C11/$C$14</f>
        <v>0.42000132314985289</v>
      </c>
      <c r="E11" s="120">
        <f>'COdiv 2017'!E16+2161387.51</f>
        <v>8079141.6200000001</v>
      </c>
      <c r="F11" s="115">
        <f>E11/$E$14</f>
        <v>0.38558466775461042</v>
      </c>
      <c r="G11" s="74">
        <f>'COdiv 2017'!G16</f>
        <v>117179</v>
      </c>
      <c r="H11" s="271">
        <f>G11/$G$14</f>
        <v>0.46963836975820511</v>
      </c>
      <c r="I11" s="44" t="s">
        <v>235</v>
      </c>
      <c r="J11" s="271">
        <f>(D11+F11+H11)/3</f>
        <v>0.42507478688755618</v>
      </c>
      <c r="K11" s="44" t="s">
        <v>233</v>
      </c>
      <c r="L11" s="115">
        <f>ROUND(H11,4)</f>
        <v>0.46960000000000002</v>
      </c>
      <c r="M11" s="115">
        <f>ROUND(J11,4)</f>
        <v>0.42509999999999998</v>
      </c>
    </row>
    <row r="12" spans="1:13" x14ac:dyDescent="0.2">
      <c r="A12" s="69">
        <v>81</v>
      </c>
      <c r="B12" s="10" t="s">
        <v>51</v>
      </c>
      <c r="C12" s="142">
        <f>335696526.03+8051.75</f>
        <v>335704577.77999997</v>
      </c>
      <c r="D12" s="115">
        <f>C12/$C$14</f>
        <v>0.57999867685014728</v>
      </c>
      <c r="E12" s="120">
        <v>12873822.27</v>
      </c>
      <c r="F12" s="115">
        <f>E12/$E$14</f>
        <v>0.61441533224538947</v>
      </c>
      <c r="G12" s="74">
        <v>132330</v>
      </c>
      <c r="H12" s="271">
        <f>G12/$G$14</f>
        <v>0.53036163024179483</v>
      </c>
      <c r="I12" s="44" t="s">
        <v>236</v>
      </c>
      <c r="J12" s="271">
        <f>(D12+F12+H12)/3</f>
        <v>0.57492521311244393</v>
      </c>
      <c r="K12" s="44" t="s">
        <v>234</v>
      </c>
      <c r="L12" s="115">
        <f>ROUND(H12,4)</f>
        <v>0.53039999999999998</v>
      </c>
      <c r="M12" s="115">
        <f>ROUND(J12,4)</f>
        <v>0.57489999999999997</v>
      </c>
    </row>
    <row r="13" spans="1:13" x14ac:dyDescent="0.2">
      <c r="C13" s="121"/>
      <c r="D13" s="75"/>
      <c r="E13" s="71"/>
      <c r="F13" s="76"/>
      <c r="G13" s="77"/>
      <c r="H13" s="272"/>
      <c r="I13" s="78"/>
      <c r="J13" s="79"/>
    </row>
    <row r="14" spans="1:13" x14ac:dyDescent="0.2">
      <c r="B14" s="10" t="s">
        <v>1</v>
      </c>
      <c r="C14" s="120">
        <f>SUM(C11:C13)</f>
        <v>578802316.58999991</v>
      </c>
      <c r="D14" s="115">
        <f t="shared" ref="D14:J14" si="0">SUM(D11:D12)</f>
        <v>1.0000000000000002</v>
      </c>
      <c r="E14" s="36">
        <f>SUM(E11:E12)</f>
        <v>20952963.890000001</v>
      </c>
      <c r="F14" s="115">
        <f t="shared" si="0"/>
        <v>0.99999999999999989</v>
      </c>
      <c r="G14" s="74">
        <f>SUM(G11:G12)</f>
        <v>249509</v>
      </c>
      <c r="H14" s="116">
        <f t="shared" si="0"/>
        <v>1</v>
      </c>
      <c r="I14" s="115"/>
      <c r="J14" s="116">
        <f t="shared" si="0"/>
        <v>1</v>
      </c>
    </row>
    <row r="15" spans="1:13" x14ac:dyDescent="0.2">
      <c r="C15" s="120"/>
      <c r="E15" s="36"/>
    </row>
    <row r="16" spans="1:13" x14ac:dyDescent="0.2">
      <c r="B16" s="154" t="s">
        <v>203</v>
      </c>
      <c r="C16" s="120">
        <f>8051.75+580186395.16</f>
        <v>580194446.90999997</v>
      </c>
      <c r="D16" s="120"/>
      <c r="E16" s="120">
        <v>26613522.739999998</v>
      </c>
      <c r="F16" s="120"/>
      <c r="G16" s="256">
        <v>249509</v>
      </c>
    </row>
    <row r="17" spans="1:7" x14ac:dyDescent="0.2">
      <c r="B17" s="154"/>
      <c r="C17" s="120"/>
      <c r="D17" s="142"/>
      <c r="E17" s="120"/>
      <c r="F17" s="120"/>
      <c r="G17" s="120"/>
    </row>
    <row r="18" spans="1:7" x14ac:dyDescent="0.2">
      <c r="B18" s="154" t="s">
        <v>199</v>
      </c>
      <c r="C18" s="120">
        <f>C16-C14</f>
        <v>1392130.3200000525</v>
      </c>
      <c r="E18" s="120">
        <f>E16-E14</f>
        <v>5660558.8499999978</v>
      </c>
      <c r="G18" s="120">
        <f>G14-G16</f>
        <v>0</v>
      </c>
    </row>
    <row r="19" spans="1:7" x14ac:dyDescent="0.2">
      <c r="B19" s="154" t="s">
        <v>204</v>
      </c>
      <c r="C19" s="120">
        <v>1392130.32</v>
      </c>
      <c r="E19" s="135">
        <v>5660558.8499999996</v>
      </c>
      <c r="F19" s="44"/>
    </row>
    <row r="20" spans="1:7" x14ac:dyDescent="0.2">
      <c r="B20" s="154" t="s">
        <v>202</v>
      </c>
      <c r="C20" s="120">
        <f>C18-C19</f>
        <v>5.2386894822120667E-8</v>
      </c>
      <c r="E20" s="120">
        <f>E18-E19</f>
        <v>0</v>
      </c>
      <c r="F20" s="44"/>
    </row>
    <row r="21" spans="1:7" x14ac:dyDescent="0.2">
      <c r="B21" s="154"/>
      <c r="E21" s="120"/>
      <c r="F21" s="143"/>
    </row>
    <row r="22" spans="1:7" x14ac:dyDescent="0.2">
      <c r="B22" s="154"/>
      <c r="E22" s="120"/>
    </row>
    <row r="23" spans="1:7" x14ac:dyDescent="0.2">
      <c r="B23" s="154"/>
      <c r="E23" s="120"/>
      <c r="F23" s="44"/>
    </row>
    <row r="24" spans="1:7" x14ac:dyDescent="0.2">
      <c r="B24" s="154"/>
    </row>
    <row r="25" spans="1:7" x14ac:dyDescent="0.2">
      <c r="A25" s="64" t="s">
        <v>98</v>
      </c>
      <c r="B25" s="154"/>
    </row>
    <row r="26" spans="1:7" x14ac:dyDescent="0.2">
      <c r="B26" s="154"/>
    </row>
    <row r="27" spans="1:7" x14ac:dyDescent="0.2">
      <c r="B27" s="154"/>
    </row>
    <row r="28" spans="1:7" x14ac:dyDescent="0.2">
      <c r="B28" s="154"/>
    </row>
    <row r="29" spans="1:7" x14ac:dyDescent="0.2">
      <c r="B29" s="154"/>
    </row>
    <row r="30" spans="1:7" x14ac:dyDescent="0.2">
      <c r="B30" s="154"/>
    </row>
  </sheetData>
  <mergeCells count="4">
    <mergeCell ref="A1:K1"/>
    <mergeCell ref="A2:K2"/>
    <mergeCell ref="A3:K3"/>
    <mergeCell ref="A4:K4"/>
  </mergeCells>
  <phoneticPr fontId="0" type="noConversion"/>
  <pageMargins left="0.46" right="0.28000000000000003" top="1" bottom="1" header="0.5" footer="0.5"/>
  <pageSetup scale="94" orientation="landscape" horizontalDpi="4294967294" verticalDpi="4294967294" r:id="rId1"/>
  <headerFooter alignWithMargins="0">
    <oddFooter>&amp;L&amp;"Times New Roman,Italic"General Accounting&amp;R&amp;"Times New Roman,Italic"&amp;9&amp;T&amp;D</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C00000"/>
    <pageSetUpPr fitToPage="1"/>
  </sheetPr>
  <dimension ref="A1:R34"/>
  <sheetViews>
    <sheetView workbookViewId="0">
      <selection activeCell="A5" sqref="A5"/>
    </sheetView>
  </sheetViews>
  <sheetFormatPr defaultColWidth="9.140625" defaultRowHeight="12.75" x14ac:dyDescent="0.2"/>
  <cols>
    <col min="1" max="1" width="6.5703125" style="10" customWidth="1"/>
    <col min="2" max="2" width="23.28515625" style="10" customWidth="1"/>
    <col min="3" max="3" width="16.85546875" style="10" customWidth="1"/>
    <col min="4" max="4" width="13.42578125" style="10" customWidth="1"/>
    <col min="5" max="5" width="14.7109375" style="10" customWidth="1"/>
    <col min="6" max="6" width="13.7109375" style="10" customWidth="1"/>
    <col min="7" max="7" width="13.28515625" style="10" customWidth="1"/>
    <col min="8" max="9" width="11.42578125" style="10" customWidth="1"/>
    <col min="10" max="10" width="3.5703125" style="10" customWidth="1"/>
    <col min="11" max="11" width="12.42578125" style="10" customWidth="1"/>
    <col min="12" max="12" width="12" style="191" bestFit="1" customWidth="1"/>
    <col min="13" max="13" width="8.140625" style="191" bestFit="1" customWidth="1"/>
    <col min="14" max="14" width="3.85546875" style="191" customWidth="1"/>
    <col min="15" max="15" width="18.5703125" style="10" bestFit="1" customWidth="1"/>
    <col min="16" max="16" width="9.5703125" style="10" bestFit="1" customWidth="1"/>
    <col min="17" max="17" width="18.5703125" style="10" bestFit="1" customWidth="1"/>
    <col min="18" max="18" width="9.5703125" style="10" bestFit="1" customWidth="1"/>
    <col min="19" max="16384" width="9.140625" style="10"/>
  </cols>
  <sheetData>
    <row r="1" spans="1:18" ht="14.25" x14ac:dyDescent="0.2">
      <c r="A1" s="432" t="s">
        <v>17</v>
      </c>
      <c r="B1" s="432"/>
      <c r="C1" s="432"/>
      <c r="D1" s="432"/>
      <c r="E1" s="432"/>
      <c r="F1" s="432"/>
      <c r="G1" s="432"/>
      <c r="H1" s="432"/>
      <c r="I1" s="432"/>
      <c r="J1" s="432"/>
      <c r="K1" s="432"/>
      <c r="L1" s="194"/>
      <c r="M1" s="194"/>
      <c r="N1" s="194"/>
    </row>
    <row r="2" spans="1:18" ht="14.25" x14ac:dyDescent="0.2">
      <c r="A2" s="432" t="s">
        <v>88</v>
      </c>
      <c r="B2" s="432"/>
      <c r="C2" s="432"/>
      <c r="D2" s="432"/>
      <c r="E2" s="432"/>
      <c r="F2" s="432"/>
      <c r="G2" s="432"/>
      <c r="H2" s="432"/>
      <c r="I2" s="432"/>
      <c r="J2" s="432"/>
      <c r="K2" s="432"/>
      <c r="L2" s="194"/>
      <c r="M2" s="194"/>
      <c r="N2" s="194"/>
    </row>
    <row r="3" spans="1:18" ht="14.25" x14ac:dyDescent="0.2">
      <c r="A3" s="432" t="s">
        <v>48</v>
      </c>
      <c r="B3" s="432"/>
      <c r="C3" s="432"/>
      <c r="D3" s="432"/>
      <c r="E3" s="432"/>
      <c r="F3" s="432"/>
      <c r="G3" s="432"/>
      <c r="H3" s="432"/>
      <c r="I3" s="432"/>
      <c r="J3" s="432"/>
      <c r="K3" s="432"/>
      <c r="L3" s="194"/>
      <c r="M3" s="194"/>
      <c r="N3" s="194"/>
    </row>
    <row r="4" spans="1:18" ht="14.25" x14ac:dyDescent="0.2">
      <c r="A4" s="432" t="s">
        <v>325</v>
      </c>
      <c r="B4" s="432"/>
      <c r="C4" s="432"/>
      <c r="D4" s="432"/>
      <c r="E4" s="432"/>
      <c r="F4" s="432"/>
      <c r="G4" s="432"/>
      <c r="H4" s="432"/>
      <c r="I4" s="432"/>
      <c r="J4" s="432"/>
      <c r="K4" s="432"/>
      <c r="L4" s="194"/>
      <c r="M4" s="194"/>
      <c r="N4" s="194"/>
      <c r="O4" s="44" t="s">
        <v>379</v>
      </c>
      <c r="P4" s="44"/>
    </row>
    <row r="5" spans="1:18" x14ac:dyDescent="0.2">
      <c r="K5" s="434" t="s">
        <v>126</v>
      </c>
      <c r="L5" s="434"/>
      <c r="M5" s="434"/>
      <c r="N5" s="434"/>
      <c r="O5" s="434"/>
      <c r="P5" s="434"/>
      <c r="Q5" s="434"/>
    </row>
    <row r="6" spans="1:18" x14ac:dyDescent="0.2">
      <c r="K6" s="44" t="s">
        <v>123</v>
      </c>
      <c r="L6" s="192"/>
      <c r="M6" s="192"/>
      <c r="N6" s="192"/>
      <c r="O6" s="44" t="s">
        <v>124</v>
      </c>
      <c r="P6" s="44"/>
      <c r="Q6" s="44" t="s">
        <v>125</v>
      </c>
    </row>
    <row r="7" spans="1:18" ht="38.25" x14ac:dyDescent="0.2">
      <c r="A7" s="57" t="s">
        <v>31</v>
      </c>
      <c r="B7" s="57" t="s">
        <v>32</v>
      </c>
      <c r="C7" s="153" t="s">
        <v>365</v>
      </c>
      <c r="D7" s="58" t="s">
        <v>75</v>
      </c>
      <c r="E7" s="153" t="s">
        <v>366</v>
      </c>
      <c r="F7" s="58" t="s">
        <v>76</v>
      </c>
      <c r="G7" s="153" t="s">
        <v>368</v>
      </c>
      <c r="H7" s="58" t="s">
        <v>77</v>
      </c>
      <c r="I7" s="197" t="s">
        <v>375</v>
      </c>
      <c r="J7" s="58"/>
      <c r="K7" s="258" t="s">
        <v>89</v>
      </c>
      <c r="L7" s="259" t="s">
        <v>372</v>
      </c>
      <c r="M7" s="259"/>
      <c r="N7" s="198"/>
      <c r="O7" s="265" t="s">
        <v>89</v>
      </c>
      <c r="P7" s="265" t="s">
        <v>394</v>
      </c>
      <c r="Q7" s="265" t="s">
        <v>89</v>
      </c>
      <c r="R7" s="388" t="s">
        <v>394</v>
      </c>
    </row>
    <row r="8" spans="1:18" x14ac:dyDescent="0.2">
      <c r="B8" s="60"/>
      <c r="C8" s="61" t="s">
        <v>37</v>
      </c>
      <c r="D8" s="62" t="s">
        <v>38</v>
      </c>
      <c r="E8" s="62" t="s">
        <v>39</v>
      </c>
      <c r="F8" s="62" t="s">
        <v>40</v>
      </c>
      <c r="G8" s="62" t="s">
        <v>41</v>
      </c>
      <c r="H8" s="62" t="s">
        <v>42</v>
      </c>
      <c r="I8" s="62"/>
      <c r="J8" s="62"/>
      <c r="K8" s="260" t="s">
        <v>43</v>
      </c>
      <c r="L8" s="261"/>
      <c r="M8" s="261"/>
      <c r="N8" s="195"/>
      <c r="O8" s="267"/>
      <c r="P8" s="267"/>
      <c r="Q8" s="266"/>
      <c r="R8" s="266"/>
    </row>
    <row r="9" spans="1:18" x14ac:dyDescent="0.2">
      <c r="K9" s="262"/>
      <c r="L9" s="263"/>
      <c r="M9" s="263"/>
      <c r="N9" s="192"/>
      <c r="O9" s="266"/>
      <c r="P9" s="266"/>
      <c r="Q9" s="266"/>
      <c r="R9" s="266"/>
    </row>
    <row r="10" spans="1:18" x14ac:dyDescent="0.2">
      <c r="K10" s="262"/>
      <c r="L10" s="263"/>
      <c r="M10" s="263"/>
      <c r="N10" s="192"/>
      <c r="O10" s="266"/>
      <c r="P10" s="266"/>
      <c r="Q10" s="266"/>
      <c r="R10" s="266"/>
    </row>
    <row r="11" spans="1:18" x14ac:dyDescent="0.2">
      <c r="A11" s="69">
        <v>33</v>
      </c>
      <c r="B11" s="10" t="s">
        <v>90</v>
      </c>
      <c r="C11" s="93">
        <v>99891953.760000005</v>
      </c>
      <c r="D11" s="115">
        <f>C11/$C$16</f>
        <v>0.41091272279613189</v>
      </c>
      <c r="E11" s="93">
        <v>2669225.4</v>
      </c>
      <c r="F11" s="115">
        <f>E11/$E$16</f>
        <v>0.45105378668732821</v>
      </c>
      <c r="G11" s="74">
        <v>52844</v>
      </c>
      <c r="H11" s="115">
        <f>G11/$G$16</f>
        <v>0.45096817689176388</v>
      </c>
      <c r="I11" s="203" t="s">
        <v>263</v>
      </c>
      <c r="J11" s="203"/>
      <c r="K11" s="264">
        <f>AVERAGE(D11,F11,H11)</f>
        <v>0.43764489545840801</v>
      </c>
      <c r="L11" s="263" t="s">
        <v>243</v>
      </c>
      <c r="M11" s="263" t="s">
        <v>267</v>
      </c>
      <c r="N11" s="192"/>
      <c r="O11" s="268">
        <f>K11*$O$16</f>
        <v>8.75289790916816E-3</v>
      </c>
      <c r="P11" s="387" t="s">
        <v>390</v>
      </c>
      <c r="Q11" s="268">
        <f>K11*$Q$16</f>
        <v>0.17982828754385985</v>
      </c>
      <c r="R11" s="269" t="s">
        <v>271</v>
      </c>
    </row>
    <row r="12" spans="1:18" x14ac:dyDescent="0.2">
      <c r="A12" s="69">
        <v>34</v>
      </c>
      <c r="B12" s="10" t="s">
        <v>91</v>
      </c>
      <c r="C12" s="93">
        <v>49090912.460000001</v>
      </c>
      <c r="D12" s="115">
        <f>C12/$C$16</f>
        <v>0.20193899252336694</v>
      </c>
      <c r="E12" s="93">
        <v>1346779.33</v>
      </c>
      <c r="F12" s="115">
        <f>E12/$E$16</f>
        <v>0.22758284730421149</v>
      </c>
      <c r="G12" s="74">
        <v>25744</v>
      </c>
      <c r="H12" s="115">
        <f>G12/$G$16</f>
        <v>0.21969806876658787</v>
      </c>
      <c r="I12" s="203" t="s">
        <v>264</v>
      </c>
      <c r="J12" s="203"/>
      <c r="K12" s="264">
        <f>AVERAGE(D12,F12,H12)</f>
        <v>0.21640663619805545</v>
      </c>
      <c r="L12" s="263" t="s">
        <v>244</v>
      </c>
      <c r="M12" s="263" t="s">
        <v>268</v>
      </c>
      <c r="N12" s="192"/>
      <c r="O12" s="268">
        <f>K12*$O$16</f>
        <v>4.3281327239611091E-3</v>
      </c>
      <c r="P12" s="387" t="s">
        <v>391</v>
      </c>
      <c r="Q12" s="268">
        <f>K12*$Q$16</f>
        <v>8.8921486813780981E-2</v>
      </c>
      <c r="R12" s="269" t="s">
        <v>272</v>
      </c>
    </row>
    <row r="13" spans="1:18" x14ac:dyDescent="0.2">
      <c r="A13" s="69">
        <v>35</v>
      </c>
      <c r="B13" s="10" t="s">
        <v>92</v>
      </c>
      <c r="C13" s="93">
        <v>50898776.350000001</v>
      </c>
      <c r="D13" s="115">
        <f>C13/$C$16</f>
        <v>0.20937577041710534</v>
      </c>
      <c r="E13" s="93">
        <v>1148354.23</v>
      </c>
      <c r="F13" s="115">
        <f>E13/$E$16</f>
        <v>0.19405237335891942</v>
      </c>
      <c r="G13" s="74">
        <v>21080</v>
      </c>
      <c r="H13" s="115">
        <f>G13/$G$16</f>
        <v>0.17989571510253544</v>
      </c>
      <c r="I13" s="203" t="s">
        <v>265</v>
      </c>
      <c r="J13" s="203"/>
      <c r="K13" s="264">
        <f>AVERAGE(D13,F13,H13)</f>
        <v>0.1944412862928534</v>
      </c>
      <c r="L13" s="263" t="s">
        <v>245</v>
      </c>
      <c r="M13" s="263" t="s">
        <v>269</v>
      </c>
      <c r="N13" s="192"/>
      <c r="O13" s="268">
        <f>K13*$O$16</f>
        <v>3.8888257258570679E-3</v>
      </c>
      <c r="P13" s="387" t="s">
        <v>392</v>
      </c>
      <c r="Q13" s="268">
        <f>K13*$Q$16</f>
        <v>7.9895924537733462E-2</v>
      </c>
      <c r="R13" s="269" t="s">
        <v>273</v>
      </c>
    </row>
    <row r="14" spans="1:18" x14ac:dyDescent="0.2">
      <c r="A14" s="69">
        <v>36</v>
      </c>
      <c r="B14" s="10" t="s">
        <v>93</v>
      </c>
      <c r="C14" s="93">
        <v>43216096.240000002</v>
      </c>
      <c r="D14" s="115">
        <f>C14/$C$16</f>
        <v>0.17777251426339585</v>
      </c>
      <c r="E14" s="93">
        <v>753395.15</v>
      </c>
      <c r="F14" s="115">
        <f>E14/$E$16</f>
        <v>0.12731099264954082</v>
      </c>
      <c r="G14" s="74">
        <v>17511</v>
      </c>
      <c r="H14" s="115">
        <f>G14/$G$16</f>
        <v>0.14943803923911281</v>
      </c>
      <c r="I14" s="203" t="s">
        <v>266</v>
      </c>
      <c r="J14" s="203"/>
      <c r="K14" s="264">
        <f>AVERAGE(D14,F14,H14)</f>
        <v>0.15150718205068317</v>
      </c>
      <c r="L14" s="263" t="s">
        <v>246</v>
      </c>
      <c r="M14" s="263" t="s">
        <v>270</v>
      </c>
      <c r="N14" s="192"/>
      <c r="O14" s="268">
        <f>K14*$O$16</f>
        <v>3.0301436410136635E-3</v>
      </c>
      <c r="P14" s="387" t="s">
        <v>393</v>
      </c>
      <c r="Q14" s="268">
        <f>K14*$Q$16</f>
        <v>6.2254301104625716E-2</v>
      </c>
      <c r="R14" s="269" t="s">
        <v>274</v>
      </c>
    </row>
    <row r="15" spans="1:18" x14ac:dyDescent="0.2">
      <c r="C15" s="71"/>
      <c r="D15" s="75"/>
      <c r="E15" s="113"/>
      <c r="F15" s="76"/>
      <c r="G15" s="77"/>
      <c r="H15" s="78"/>
      <c r="I15" s="78"/>
      <c r="J15" s="78"/>
      <c r="K15" s="79"/>
      <c r="L15" s="196"/>
      <c r="M15" s="196"/>
      <c r="N15" s="196"/>
      <c r="O15" s="266"/>
      <c r="P15" s="266"/>
      <c r="Q15" s="268"/>
      <c r="R15" s="266"/>
    </row>
    <row r="16" spans="1:18" x14ac:dyDescent="0.2">
      <c r="B16" s="10" t="s">
        <v>1</v>
      </c>
      <c r="C16" s="120">
        <f>SUM(C11:C14)</f>
        <v>243097738.81</v>
      </c>
      <c r="D16" s="115">
        <f t="shared" ref="D16:H16" si="0">SUM(D11:D14)</f>
        <v>1</v>
      </c>
      <c r="E16" s="93">
        <f>SUM(E11:E14)</f>
        <v>5917754.1100000003</v>
      </c>
      <c r="F16" s="115">
        <f t="shared" si="0"/>
        <v>1</v>
      </c>
      <c r="G16" s="93">
        <f>SUM(G11:G14)</f>
        <v>117179</v>
      </c>
      <c r="H16" s="115">
        <f t="shared" si="0"/>
        <v>1</v>
      </c>
      <c r="I16" s="115"/>
      <c r="J16" s="115"/>
      <c r="K16" s="116">
        <f>SUM(K11:K14)</f>
        <v>1</v>
      </c>
      <c r="L16" s="192"/>
      <c r="M16" s="192"/>
      <c r="N16" s="192"/>
      <c r="O16" s="373">
        <v>0.02</v>
      </c>
      <c r="P16" s="373"/>
      <c r="Q16" s="268">
        <v>0.41089999999999999</v>
      </c>
      <c r="R16" s="266"/>
    </row>
    <row r="17" spans="1:14" x14ac:dyDescent="0.2">
      <c r="C17" s="120"/>
      <c r="E17" s="36"/>
      <c r="L17" s="192"/>
      <c r="M17" s="192"/>
      <c r="N17" s="192"/>
    </row>
    <row r="18" spans="1:14" x14ac:dyDescent="0.2">
      <c r="A18" s="44"/>
      <c r="B18" s="154"/>
      <c r="C18" s="120"/>
      <c r="E18" s="36"/>
      <c r="G18" s="74"/>
      <c r="L18" s="192"/>
      <c r="M18" s="192"/>
      <c r="N18" s="192"/>
    </row>
    <row r="19" spans="1:14" x14ac:dyDescent="0.2">
      <c r="A19" s="10" t="s">
        <v>326</v>
      </c>
      <c r="B19" s="154"/>
      <c r="C19" s="120"/>
      <c r="K19" s="10">
        <v>43.77</v>
      </c>
      <c r="L19" s="192" t="s">
        <v>395</v>
      </c>
    </row>
    <row r="20" spans="1:14" x14ac:dyDescent="0.2">
      <c r="B20" s="154"/>
      <c r="C20" s="120"/>
    </row>
    <row r="21" spans="1:14" x14ac:dyDescent="0.2">
      <c r="B21" s="154"/>
      <c r="C21" s="120"/>
    </row>
    <row r="22" spans="1:14" x14ac:dyDescent="0.2">
      <c r="B22" s="154"/>
      <c r="C22" s="120"/>
    </row>
    <row r="23" spans="1:14" x14ac:dyDescent="0.2">
      <c r="B23" s="154"/>
      <c r="C23" s="120"/>
    </row>
    <row r="24" spans="1:14" x14ac:dyDescent="0.2">
      <c r="B24" s="154"/>
      <c r="C24" s="120"/>
    </row>
    <row r="25" spans="1:14" x14ac:dyDescent="0.2">
      <c r="B25" s="154"/>
      <c r="C25" s="120"/>
    </row>
    <row r="26" spans="1:14" x14ac:dyDescent="0.2">
      <c r="B26" s="154"/>
      <c r="C26" s="120"/>
    </row>
    <row r="27" spans="1:14" x14ac:dyDescent="0.2">
      <c r="B27" s="154"/>
      <c r="C27" s="120"/>
    </row>
    <row r="28" spans="1:14" x14ac:dyDescent="0.2">
      <c r="B28" s="154"/>
      <c r="C28" s="120"/>
    </row>
    <row r="29" spans="1:14" x14ac:dyDescent="0.2">
      <c r="B29" s="154"/>
      <c r="C29" s="120"/>
    </row>
    <row r="30" spans="1:14" x14ac:dyDescent="0.2">
      <c r="B30" s="154"/>
      <c r="C30" s="120"/>
    </row>
    <row r="31" spans="1:14" x14ac:dyDescent="0.2">
      <c r="B31" s="154"/>
      <c r="C31" s="120"/>
    </row>
    <row r="32" spans="1:14" x14ac:dyDescent="0.2">
      <c r="B32" s="154"/>
      <c r="C32" s="120"/>
    </row>
    <row r="33" spans="2:3" x14ac:dyDescent="0.2">
      <c r="B33" s="154"/>
      <c r="C33" s="120"/>
    </row>
    <row r="34" spans="2:3" x14ac:dyDescent="0.2">
      <c r="B34" s="154"/>
      <c r="C34" s="120"/>
    </row>
  </sheetData>
  <mergeCells count="5">
    <mergeCell ref="K5:Q5"/>
    <mergeCell ref="A1:K1"/>
    <mergeCell ref="A2:K2"/>
    <mergeCell ref="A3:K3"/>
    <mergeCell ref="A4:K4"/>
  </mergeCells>
  <phoneticPr fontId="0" type="noConversion"/>
  <pageMargins left="0.5" right="0" top="1" bottom="1" header="0.5" footer="0.5"/>
  <pageSetup scale="64" orientation="landscape" horizontalDpi="4294967294" verticalDpi="4294967294" r:id="rId1"/>
  <headerFooter alignWithMargins="0">
    <oddFooter>&amp;L&amp;"Times New Roman,Italic"General Accounting&amp;R&amp;"Times New Roman,Italic"&amp;T&amp;D</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C00000"/>
    <pageSetUpPr fitToPage="1"/>
  </sheetPr>
  <dimension ref="A1:N39"/>
  <sheetViews>
    <sheetView workbookViewId="0">
      <selection activeCell="J12" sqref="J12"/>
    </sheetView>
  </sheetViews>
  <sheetFormatPr defaultColWidth="9.140625" defaultRowHeight="12.75" x14ac:dyDescent="0.2"/>
  <cols>
    <col min="1" max="1" width="6.140625" style="10" customWidth="1"/>
    <col min="2" max="2" width="24.5703125" style="10" customWidth="1"/>
    <col min="3" max="3" width="15" style="10" customWidth="1"/>
    <col min="4" max="4" width="12.42578125" style="10" customWidth="1"/>
    <col min="5" max="5" width="15.42578125" style="10" customWidth="1"/>
    <col min="6" max="6" width="12.140625" style="10" customWidth="1"/>
    <col min="7" max="7" width="13.28515625" style="10" customWidth="1"/>
    <col min="8" max="8" width="11.42578125" style="10" customWidth="1"/>
    <col min="9" max="9" width="11.85546875" style="10" customWidth="1"/>
    <col min="10" max="10" width="15.140625" style="10" customWidth="1"/>
    <col min="11" max="11" width="7.5703125" style="10" bestFit="1" customWidth="1"/>
    <col min="12" max="12" width="11.28515625" style="10" customWidth="1"/>
    <col min="13" max="16384" width="9.140625" style="10"/>
  </cols>
  <sheetData>
    <row r="1" spans="1:14" ht="14.25" x14ac:dyDescent="0.2">
      <c r="A1" s="432" t="s">
        <v>17</v>
      </c>
      <c r="B1" s="432"/>
      <c r="C1" s="432"/>
      <c r="D1" s="432"/>
      <c r="E1" s="432"/>
      <c r="F1" s="432"/>
      <c r="G1" s="432"/>
      <c r="H1" s="432"/>
      <c r="I1" s="432"/>
      <c r="J1" s="432"/>
    </row>
    <row r="2" spans="1:14" ht="14.25" x14ac:dyDescent="0.2">
      <c r="A2" s="432" t="s">
        <v>52</v>
      </c>
      <c r="B2" s="432"/>
      <c r="C2" s="432"/>
      <c r="D2" s="432"/>
      <c r="E2" s="432"/>
      <c r="F2" s="432"/>
      <c r="G2" s="432"/>
      <c r="H2" s="432"/>
      <c r="I2" s="432"/>
      <c r="J2" s="432"/>
    </row>
    <row r="3" spans="1:14" ht="14.25" x14ac:dyDescent="0.2">
      <c r="A3" s="433" t="s">
        <v>30</v>
      </c>
      <c r="B3" s="432"/>
      <c r="C3" s="432"/>
      <c r="D3" s="432"/>
      <c r="E3" s="432"/>
      <c r="F3" s="432"/>
      <c r="G3" s="432"/>
      <c r="H3" s="432"/>
      <c r="I3" s="432"/>
      <c r="J3" s="432"/>
    </row>
    <row r="4" spans="1:14" ht="14.25" x14ac:dyDescent="0.2">
      <c r="A4" s="432" t="s">
        <v>325</v>
      </c>
      <c r="B4" s="432"/>
      <c r="C4" s="432"/>
      <c r="D4" s="432"/>
      <c r="E4" s="432"/>
      <c r="F4" s="432"/>
      <c r="G4" s="432"/>
      <c r="H4" s="432"/>
      <c r="I4" s="432"/>
      <c r="J4" s="432"/>
    </row>
    <row r="6" spans="1:14" x14ac:dyDescent="0.2">
      <c r="H6" s="64" t="s">
        <v>73</v>
      </c>
      <c r="I6" s="64"/>
      <c r="J6" s="64" t="s">
        <v>74</v>
      </c>
    </row>
    <row r="7" spans="1:14" ht="38.25" x14ac:dyDescent="0.2">
      <c r="A7" s="57" t="s">
        <v>31</v>
      </c>
      <c r="B7" s="57" t="s">
        <v>32</v>
      </c>
      <c r="C7" s="153" t="s">
        <v>365</v>
      </c>
      <c r="D7" s="58" t="s">
        <v>53</v>
      </c>
      <c r="E7" s="153" t="s">
        <v>366</v>
      </c>
      <c r="F7" s="58" t="s">
        <v>54</v>
      </c>
      <c r="G7" s="153" t="s">
        <v>367</v>
      </c>
      <c r="H7" s="59" t="s">
        <v>55</v>
      </c>
      <c r="I7" s="197" t="s">
        <v>374</v>
      </c>
      <c r="J7" s="59" t="s">
        <v>56</v>
      </c>
      <c r="K7" s="199" t="s">
        <v>372</v>
      </c>
    </row>
    <row r="8" spans="1:14" x14ac:dyDescent="0.2">
      <c r="B8" s="60"/>
      <c r="C8" s="61" t="s">
        <v>37</v>
      </c>
      <c r="D8" s="62" t="s">
        <v>38</v>
      </c>
      <c r="E8" s="62" t="s">
        <v>39</v>
      </c>
      <c r="F8" s="62" t="s">
        <v>40</v>
      </c>
      <c r="G8" s="62" t="s">
        <v>41</v>
      </c>
      <c r="H8" s="63" t="s">
        <v>42</v>
      </c>
      <c r="I8" s="62"/>
      <c r="J8" s="63" t="s">
        <v>43</v>
      </c>
      <c r="K8" s="73"/>
    </row>
    <row r="9" spans="1:14" x14ac:dyDescent="0.2">
      <c r="H9" s="64"/>
      <c r="J9" s="64"/>
    </row>
    <row r="10" spans="1:14" x14ac:dyDescent="0.2">
      <c r="H10" s="64"/>
      <c r="J10" s="64"/>
      <c r="L10" s="44" t="s">
        <v>261</v>
      </c>
      <c r="M10" s="44" t="s">
        <v>262</v>
      </c>
    </row>
    <row r="11" spans="1:14" x14ac:dyDescent="0.2">
      <c r="A11" s="155">
        <v>1</v>
      </c>
      <c r="B11" s="10" t="s">
        <v>57</v>
      </c>
      <c r="C11" s="156">
        <v>0</v>
      </c>
      <c r="D11" s="115">
        <f>C11/$C$29</f>
        <v>0</v>
      </c>
      <c r="E11" s="70"/>
      <c r="F11" s="115">
        <f>E11/$E$29</f>
        <v>0</v>
      </c>
      <c r="G11" s="70">
        <v>0</v>
      </c>
      <c r="H11" s="271">
        <f>G11/$G$29</f>
        <v>0</v>
      </c>
      <c r="I11" s="126"/>
      <c r="J11" s="271">
        <f>AVERAGE(D11,F11,H11)</f>
        <v>0</v>
      </c>
      <c r="K11" s="357" t="s">
        <v>207</v>
      </c>
      <c r="L11" s="126">
        <f>ROUND(H11,4)</f>
        <v>0</v>
      </c>
      <c r="M11" s="126">
        <f>ROUND(J11,4)</f>
        <v>0</v>
      </c>
      <c r="N11" s="44" t="s">
        <v>371</v>
      </c>
    </row>
    <row r="12" spans="1:14" x14ac:dyDescent="0.2">
      <c r="A12" s="157">
        <v>3</v>
      </c>
      <c r="B12" s="10" t="s">
        <v>58</v>
      </c>
      <c r="C12" s="156">
        <v>120291521.58</v>
      </c>
      <c r="D12" s="187">
        <f t="shared" ref="D12:D27" si="0">C12/$C$29</f>
        <v>0.17147044657833785</v>
      </c>
      <c r="E12" s="70">
        <v>3848502.57</v>
      </c>
      <c r="F12" s="115">
        <f t="shared" ref="F12:F27" si="1">E12/$E$29</f>
        <v>0.18871087973179168</v>
      </c>
      <c r="G12" s="70">
        <v>69571</v>
      </c>
      <c r="H12" s="271">
        <f t="shared" ref="H12:H27" si="2">G12/$G$29</f>
        <v>0.23216877963805285</v>
      </c>
      <c r="I12" s="192" t="s">
        <v>221</v>
      </c>
      <c r="J12" s="271">
        <f>AVERAGE(D12,F12,H12)</f>
        <v>0.19745003531606078</v>
      </c>
      <c r="K12" s="192" t="s">
        <v>208</v>
      </c>
      <c r="L12" s="126">
        <f t="shared" ref="L12:L27" si="3">ROUND(H12,4)</f>
        <v>0.23219999999999999</v>
      </c>
      <c r="M12" s="126">
        <f t="shared" ref="M12:M27" si="4">ROUND(J12,4)</f>
        <v>0.19750000000000001</v>
      </c>
    </row>
    <row r="13" spans="1:14" x14ac:dyDescent="0.2">
      <c r="A13" s="158">
        <v>4</v>
      </c>
      <c r="B13" s="10" t="s">
        <v>59</v>
      </c>
      <c r="C13" s="156">
        <v>1036135.7</v>
      </c>
      <c r="D13" s="115">
        <f t="shared" si="0"/>
        <v>1.4769673611336048E-3</v>
      </c>
      <c r="E13" s="70">
        <v>1905.02</v>
      </c>
      <c r="F13" s="115">
        <f t="shared" si="1"/>
        <v>9.3412436023566895E-5</v>
      </c>
      <c r="G13" s="70">
        <v>1143</v>
      </c>
      <c r="H13" s="271">
        <f t="shared" si="2"/>
        <v>3.8143610861751938E-3</v>
      </c>
      <c r="I13" s="192" t="s">
        <v>222</v>
      </c>
      <c r="J13" s="271">
        <f t="shared" ref="J13:J27" si="5">AVERAGE(D13,F13,H13)</f>
        <v>1.7949136277774552E-3</v>
      </c>
      <c r="K13" s="192" t="s">
        <v>209</v>
      </c>
      <c r="L13" s="126">
        <f t="shared" si="3"/>
        <v>3.8E-3</v>
      </c>
      <c r="M13" s="126">
        <f t="shared" si="4"/>
        <v>1.8E-3</v>
      </c>
    </row>
    <row r="14" spans="1:14" x14ac:dyDescent="0.2">
      <c r="A14" s="157">
        <v>5</v>
      </c>
      <c r="B14" s="10" t="s">
        <v>60</v>
      </c>
      <c r="C14" s="255">
        <f>322454325.39+63045.86</f>
        <v>322517371.25</v>
      </c>
      <c r="D14" s="115">
        <f t="shared" si="0"/>
        <v>0.45973479220420616</v>
      </c>
      <c r="E14" s="70">
        <f>9350351.2+3763.85+111521.89+101857.02</f>
        <v>9567493.959999999</v>
      </c>
      <c r="F14" s="115">
        <f t="shared" si="1"/>
        <v>0.46914096305779607</v>
      </c>
      <c r="G14" s="70">
        <f>135380+38+25</f>
        <v>135443</v>
      </c>
      <c r="H14" s="271">
        <f t="shared" si="2"/>
        <v>0.45199344583974344</v>
      </c>
      <c r="I14" s="192" t="s">
        <v>223</v>
      </c>
      <c r="J14" s="271">
        <f t="shared" si="5"/>
        <v>0.46028973370058185</v>
      </c>
      <c r="K14" s="192" t="s">
        <v>210</v>
      </c>
      <c r="L14" s="126">
        <f>ROUND(H14,4)</f>
        <v>0.45200000000000001</v>
      </c>
      <c r="M14" s="126">
        <f>1-SUM(M12+M13+M15+M16+M17+M18+M19+M20+M21+M22+M23+M24+M25+M26+M27)</f>
        <v>0.46039999999999992</v>
      </c>
    </row>
    <row r="15" spans="1:14" x14ac:dyDescent="0.2">
      <c r="A15" s="157">
        <v>6</v>
      </c>
      <c r="B15" s="10" t="s">
        <v>61</v>
      </c>
      <c r="C15" s="156">
        <v>4169365.52</v>
      </c>
      <c r="D15" s="115">
        <f t="shared" si="0"/>
        <v>5.9432531758879083E-3</v>
      </c>
      <c r="E15" s="70">
        <v>162950.92000000001</v>
      </c>
      <c r="F15" s="115">
        <f t="shared" si="1"/>
        <v>7.9902795715957667E-3</v>
      </c>
      <c r="G15" s="70">
        <v>2060</v>
      </c>
      <c r="H15" s="271">
        <f t="shared" si="2"/>
        <v>6.8745265420130349E-3</v>
      </c>
      <c r="I15" s="192" t="s">
        <v>224</v>
      </c>
      <c r="J15" s="271">
        <f t="shared" si="5"/>
        <v>6.9360197631655697E-3</v>
      </c>
      <c r="K15" s="192" t="s">
        <v>211</v>
      </c>
      <c r="L15" s="126">
        <f t="shared" si="3"/>
        <v>6.8999999999999999E-3</v>
      </c>
      <c r="M15" s="126">
        <f t="shared" si="4"/>
        <v>6.8999999999999999E-3</v>
      </c>
    </row>
    <row r="16" spans="1:14" x14ac:dyDescent="0.2">
      <c r="A16" s="157">
        <v>8</v>
      </c>
      <c r="B16" s="44" t="s">
        <v>100</v>
      </c>
      <c r="C16" s="156">
        <v>0</v>
      </c>
      <c r="D16" s="115">
        <f t="shared" si="0"/>
        <v>0</v>
      </c>
      <c r="E16" s="70">
        <v>69443.39</v>
      </c>
      <c r="F16" s="115">
        <f t="shared" si="1"/>
        <v>3.4051486208200466E-3</v>
      </c>
      <c r="G16" s="70">
        <v>97</v>
      </c>
      <c r="H16" s="271">
        <f t="shared" si="2"/>
        <v>3.2370343425983707E-4</v>
      </c>
      <c r="I16" s="192" t="s">
        <v>225</v>
      </c>
      <c r="J16" s="271">
        <f t="shared" si="5"/>
        <v>1.2429506850266279E-3</v>
      </c>
      <c r="K16" s="192" t="s">
        <v>212</v>
      </c>
      <c r="L16" s="126">
        <f t="shared" si="3"/>
        <v>2.9999999999999997E-4</v>
      </c>
      <c r="M16" s="126">
        <f t="shared" si="4"/>
        <v>1.1999999999999999E-3</v>
      </c>
    </row>
    <row r="17" spans="1:13" x14ac:dyDescent="0.2">
      <c r="A17" s="157">
        <v>11</v>
      </c>
      <c r="B17" s="10" t="s">
        <v>62</v>
      </c>
      <c r="C17" s="156">
        <v>0</v>
      </c>
      <c r="D17" s="115">
        <f t="shared" si="0"/>
        <v>0</v>
      </c>
      <c r="E17" s="70"/>
      <c r="F17" s="115">
        <f t="shared" si="1"/>
        <v>0</v>
      </c>
      <c r="G17" s="70">
        <v>0</v>
      </c>
      <c r="H17" s="271">
        <f t="shared" si="2"/>
        <v>0</v>
      </c>
      <c r="I17" s="192"/>
      <c r="J17" s="271">
        <f t="shared" si="5"/>
        <v>0</v>
      </c>
      <c r="K17" s="192"/>
      <c r="L17" s="126">
        <f t="shared" si="3"/>
        <v>0</v>
      </c>
      <c r="M17" s="126">
        <f t="shared" si="4"/>
        <v>0</v>
      </c>
    </row>
    <row r="18" spans="1:13" x14ac:dyDescent="0.2">
      <c r="A18" s="157">
        <v>13</v>
      </c>
      <c r="B18" s="10" t="s">
        <v>63</v>
      </c>
      <c r="C18" s="156">
        <v>8941837.6600000001</v>
      </c>
      <c r="D18" s="115">
        <f t="shared" si="0"/>
        <v>1.2746209181263892E-2</v>
      </c>
      <c r="E18" s="70">
        <v>307592.44</v>
      </c>
      <c r="F18" s="115">
        <f t="shared" si="1"/>
        <v>1.5082759825530881E-2</v>
      </c>
      <c r="G18" s="70">
        <v>2673</v>
      </c>
      <c r="H18" s="271">
        <f t="shared" si="2"/>
        <v>8.9201987605829324E-3</v>
      </c>
      <c r="I18" s="192" t="s">
        <v>226</v>
      </c>
      <c r="J18" s="271">
        <f t="shared" si="5"/>
        <v>1.2249722589125904E-2</v>
      </c>
      <c r="K18" s="192" t="s">
        <v>213</v>
      </c>
      <c r="L18" s="126">
        <f t="shared" si="3"/>
        <v>8.8999999999999999E-3</v>
      </c>
      <c r="M18" s="126">
        <f t="shared" si="4"/>
        <v>1.2200000000000001E-2</v>
      </c>
    </row>
    <row r="19" spans="1:13" x14ac:dyDescent="0.2">
      <c r="A19" s="157">
        <v>14</v>
      </c>
      <c r="B19" s="10" t="s">
        <v>64</v>
      </c>
      <c r="C19" s="156">
        <v>0</v>
      </c>
      <c r="D19" s="115">
        <f t="shared" si="0"/>
        <v>0</v>
      </c>
      <c r="E19" s="70"/>
      <c r="F19" s="115">
        <f t="shared" si="1"/>
        <v>0</v>
      </c>
      <c r="G19" s="70">
        <v>0</v>
      </c>
      <c r="H19" s="271">
        <f t="shared" si="2"/>
        <v>0</v>
      </c>
      <c r="I19" s="192" t="s">
        <v>227</v>
      </c>
      <c r="J19" s="271">
        <f t="shared" si="5"/>
        <v>0</v>
      </c>
      <c r="K19" s="192" t="s">
        <v>214</v>
      </c>
      <c r="L19" s="126">
        <f t="shared" si="3"/>
        <v>0</v>
      </c>
      <c r="M19" s="126">
        <f t="shared" si="4"/>
        <v>0</v>
      </c>
    </row>
    <row r="20" spans="1:13" x14ac:dyDescent="0.2">
      <c r="A20" s="157">
        <v>15</v>
      </c>
      <c r="B20" s="10" t="s">
        <v>65</v>
      </c>
      <c r="C20" s="156">
        <v>0</v>
      </c>
      <c r="D20" s="115">
        <f t="shared" si="0"/>
        <v>0</v>
      </c>
      <c r="E20" s="70"/>
      <c r="F20" s="115">
        <f t="shared" si="1"/>
        <v>0</v>
      </c>
      <c r="G20" s="70">
        <v>0</v>
      </c>
      <c r="H20" s="271">
        <f t="shared" si="2"/>
        <v>0</v>
      </c>
      <c r="I20" s="192" t="s">
        <v>228</v>
      </c>
      <c r="J20" s="271">
        <f t="shared" si="5"/>
        <v>0</v>
      </c>
      <c r="K20" s="192" t="s">
        <v>215</v>
      </c>
      <c r="L20" s="126">
        <f t="shared" si="3"/>
        <v>0</v>
      </c>
      <c r="M20" s="126">
        <f t="shared" si="4"/>
        <v>0</v>
      </c>
    </row>
    <row r="21" spans="1:13" x14ac:dyDescent="0.2">
      <c r="A21" s="157">
        <v>16</v>
      </c>
      <c r="B21" s="10" t="s">
        <v>66</v>
      </c>
      <c r="C21" s="156">
        <v>150405275.87</v>
      </c>
      <c r="D21" s="115">
        <f t="shared" si="0"/>
        <v>0.2143963222213903</v>
      </c>
      <c r="E21" s="70">
        <f>3227714.12+3763.86</f>
        <v>3231477.98</v>
      </c>
      <c r="F21" s="115">
        <f t="shared" si="1"/>
        <v>0.15845515011302516</v>
      </c>
      <c r="G21" s="70">
        <v>69485</v>
      </c>
      <c r="H21" s="271">
        <f t="shared" si="2"/>
        <v>0.23188178484066782</v>
      </c>
      <c r="I21" s="192" t="s">
        <v>229</v>
      </c>
      <c r="J21" s="271">
        <f t="shared" si="5"/>
        <v>0.20157775239169443</v>
      </c>
      <c r="K21" s="192" t="s">
        <v>216</v>
      </c>
      <c r="L21" s="126">
        <f t="shared" si="3"/>
        <v>0.2319</v>
      </c>
      <c r="M21" s="126">
        <f t="shared" si="4"/>
        <v>0.2016</v>
      </c>
    </row>
    <row r="22" spans="1:13" x14ac:dyDescent="0.2">
      <c r="A22" s="157">
        <v>17</v>
      </c>
      <c r="B22" s="10" t="s">
        <v>67</v>
      </c>
      <c r="C22" s="156">
        <v>46245.55</v>
      </c>
      <c r="D22" s="115">
        <f t="shared" si="0"/>
        <v>6.5921064149871675E-5</v>
      </c>
      <c r="E22" s="70">
        <v>14.63</v>
      </c>
      <c r="F22" s="115">
        <f t="shared" si="1"/>
        <v>7.1738036294883193E-7</v>
      </c>
      <c r="G22" s="70">
        <v>0</v>
      </c>
      <c r="H22" s="271">
        <f t="shared" si="2"/>
        <v>0</v>
      </c>
      <c r="I22" s="192"/>
      <c r="J22" s="271">
        <f t="shared" si="5"/>
        <v>2.2212814837606836E-5</v>
      </c>
      <c r="K22" s="192" t="s">
        <v>382</v>
      </c>
      <c r="L22" s="126">
        <f t="shared" si="3"/>
        <v>0</v>
      </c>
      <c r="M22" s="126">
        <f t="shared" si="4"/>
        <v>0</v>
      </c>
    </row>
    <row r="23" spans="1:13" x14ac:dyDescent="0.2">
      <c r="A23" s="157">
        <v>18</v>
      </c>
      <c r="B23" s="10" t="s">
        <v>68</v>
      </c>
      <c r="C23" s="156">
        <v>414019.3</v>
      </c>
      <c r="D23" s="115">
        <f t="shared" si="0"/>
        <v>5.9016689896833232E-4</v>
      </c>
      <c r="E23" s="70">
        <v>2692.91</v>
      </c>
      <c r="F23" s="115">
        <f t="shared" si="1"/>
        <v>1.3204653131842369E-4</v>
      </c>
      <c r="G23" s="70">
        <v>158</v>
      </c>
      <c r="H23" s="271">
        <f t="shared" si="2"/>
        <v>5.2726951147478616E-4</v>
      </c>
      <c r="I23" s="192" t="s">
        <v>230</v>
      </c>
      <c r="J23" s="271">
        <f t="shared" si="5"/>
        <v>4.1649431392051404E-4</v>
      </c>
      <c r="K23" s="192" t="s">
        <v>217</v>
      </c>
      <c r="L23" s="126">
        <f t="shared" si="3"/>
        <v>5.0000000000000001E-4</v>
      </c>
      <c r="M23" s="126">
        <f t="shared" si="4"/>
        <v>4.0000000000000002E-4</v>
      </c>
    </row>
    <row r="24" spans="1:13" x14ac:dyDescent="0.2">
      <c r="A24" s="157">
        <v>19</v>
      </c>
      <c r="B24" s="10" t="s">
        <v>69</v>
      </c>
      <c r="C24" s="156">
        <v>39237737.450000003</v>
      </c>
      <c r="D24" s="115">
        <f t="shared" si="0"/>
        <v>5.5931725485744516E-2</v>
      </c>
      <c r="E24" s="70">
        <v>1587259.5</v>
      </c>
      <c r="F24" s="115">
        <f t="shared" si="1"/>
        <v>7.7831086548460798E-2</v>
      </c>
      <c r="G24" s="70">
        <v>12</v>
      </c>
      <c r="H24" s="271">
        <f t="shared" si="2"/>
        <v>4.0045785681629328E-5</v>
      </c>
      <c r="I24" s="192" t="s">
        <v>318</v>
      </c>
      <c r="J24" s="271">
        <f t="shared" si="5"/>
        <v>4.4600952606628975E-2</v>
      </c>
      <c r="K24" s="192" t="s">
        <v>218</v>
      </c>
      <c r="L24" s="126">
        <f t="shared" si="3"/>
        <v>0</v>
      </c>
      <c r="M24" s="126">
        <f t="shared" si="4"/>
        <v>4.4600000000000001E-2</v>
      </c>
    </row>
    <row r="25" spans="1:13" x14ac:dyDescent="0.2">
      <c r="A25" s="157">
        <v>20</v>
      </c>
      <c r="B25" s="10" t="s">
        <v>70</v>
      </c>
      <c r="C25" s="156">
        <v>9685563.5399999991</v>
      </c>
      <c r="D25" s="115">
        <f t="shared" si="0"/>
        <v>1.3806358783666711E-2</v>
      </c>
      <c r="E25" s="127">
        <v>123601.62</v>
      </c>
      <c r="F25" s="115">
        <f t="shared" si="1"/>
        <v>6.0607911836407105E-3</v>
      </c>
      <c r="G25" s="70">
        <v>4939</v>
      </c>
      <c r="H25" s="271">
        <f t="shared" si="2"/>
        <v>1.6482177956797271E-2</v>
      </c>
      <c r="I25" s="192" t="s">
        <v>231</v>
      </c>
      <c r="J25" s="271">
        <f t="shared" si="5"/>
        <v>1.2116442641368233E-2</v>
      </c>
      <c r="K25" s="192" t="s">
        <v>219</v>
      </c>
      <c r="L25" s="126">
        <f t="shared" si="3"/>
        <v>1.6500000000000001E-2</v>
      </c>
      <c r="M25" s="126">
        <f t="shared" si="4"/>
        <v>1.21E-2</v>
      </c>
    </row>
    <row r="26" spans="1:13" x14ac:dyDescent="0.2">
      <c r="A26" s="157">
        <v>21</v>
      </c>
      <c r="B26" s="10" t="s">
        <v>71</v>
      </c>
      <c r="C26" s="156">
        <v>44784105.399999999</v>
      </c>
      <c r="D26" s="115">
        <f t="shared" si="0"/>
        <v>6.3837837045251145E-2</v>
      </c>
      <c r="E26" s="70">
        <v>1490709.43</v>
      </c>
      <c r="F26" s="115">
        <f t="shared" si="1"/>
        <v>7.3096764999634051E-2</v>
      </c>
      <c r="G26" s="70">
        <v>14076</v>
      </c>
      <c r="H26" s="271">
        <f t="shared" si="2"/>
        <v>4.6973706604551205E-2</v>
      </c>
      <c r="I26" s="192" t="s">
        <v>232</v>
      </c>
      <c r="J26" s="271">
        <f t="shared" si="5"/>
        <v>6.130276954981214E-2</v>
      </c>
      <c r="K26" s="192" t="s">
        <v>220</v>
      </c>
      <c r="L26" s="126">
        <f t="shared" si="3"/>
        <v>4.7E-2</v>
      </c>
      <c r="M26" s="126">
        <f t="shared" si="4"/>
        <v>6.13E-2</v>
      </c>
    </row>
    <row r="27" spans="1:13" x14ac:dyDescent="0.2">
      <c r="A27" s="157">
        <v>40</v>
      </c>
      <c r="B27" s="10" t="s">
        <v>72</v>
      </c>
      <c r="C27" s="156">
        <v>0</v>
      </c>
      <c r="D27" s="115">
        <f t="shared" si="0"/>
        <v>0</v>
      </c>
      <c r="E27" s="123"/>
      <c r="F27" s="115">
        <f t="shared" si="1"/>
        <v>0</v>
      </c>
      <c r="G27" s="72"/>
      <c r="H27" s="271">
        <f t="shared" si="2"/>
        <v>0</v>
      </c>
      <c r="I27" s="126"/>
      <c r="J27" s="271">
        <f t="shared" si="5"/>
        <v>0</v>
      </c>
      <c r="K27" s="192"/>
      <c r="L27" s="126">
        <f t="shared" si="3"/>
        <v>0</v>
      </c>
      <c r="M27" s="126">
        <f t="shared" si="4"/>
        <v>0</v>
      </c>
    </row>
    <row r="28" spans="1:13" x14ac:dyDescent="0.2">
      <c r="C28" s="128"/>
      <c r="E28" s="36"/>
      <c r="F28" s="66"/>
      <c r="G28" s="70"/>
      <c r="J28" s="117"/>
    </row>
    <row r="29" spans="1:13" x14ac:dyDescent="0.2">
      <c r="B29" s="44" t="s">
        <v>369</v>
      </c>
      <c r="C29" s="128">
        <f>SUM(C11:C27)</f>
        <v>701529178.81999981</v>
      </c>
      <c r="D29" s="115">
        <f t="shared" ref="D29:H29" si="6">SUM(D11:D27)</f>
        <v>1.0000000000000004</v>
      </c>
      <c r="E29" s="36">
        <f>SUM(E11:E27)</f>
        <v>20393644.369999997</v>
      </c>
      <c r="F29" s="115">
        <f>SUM(F11:F27)</f>
        <v>1.0000000000000002</v>
      </c>
      <c r="G29" s="70">
        <f>SUM(G11:G27)</f>
        <v>299657</v>
      </c>
      <c r="H29" s="116">
        <f t="shared" si="6"/>
        <v>1</v>
      </c>
      <c r="I29" s="115"/>
      <c r="J29" s="117">
        <f>SUM(J11:J27)</f>
        <v>1.0000000000000002</v>
      </c>
    </row>
    <row r="30" spans="1:13" x14ac:dyDescent="0.2">
      <c r="C30" s="128"/>
      <c r="E30" s="65"/>
      <c r="G30" s="70"/>
    </row>
    <row r="31" spans="1:13" x14ac:dyDescent="0.2">
      <c r="B31" s="154" t="s">
        <v>205</v>
      </c>
      <c r="C31" s="128">
        <f>711954516.15+63045.86</f>
        <v>712017562.00999999</v>
      </c>
      <c r="E31" s="65">
        <v>31254669.100000001</v>
      </c>
      <c r="G31" s="70">
        <v>299656</v>
      </c>
    </row>
    <row r="32" spans="1:13" x14ac:dyDescent="0.2">
      <c r="B32" s="159"/>
      <c r="C32" s="128"/>
      <c r="E32" s="65"/>
      <c r="G32" s="70"/>
    </row>
    <row r="33" spans="2:9" x14ac:dyDescent="0.2">
      <c r="B33" s="154" t="s">
        <v>199</v>
      </c>
      <c r="C33" s="128">
        <f>C29-C31</f>
        <v>-10488383.190000176</v>
      </c>
      <c r="D33" s="44"/>
      <c r="E33" s="65">
        <f>E29-E31</f>
        <v>-10861024.730000004</v>
      </c>
      <c r="F33" s="44"/>
      <c r="G33" s="70">
        <f>G29-G31</f>
        <v>1</v>
      </c>
      <c r="H33" s="44" t="s">
        <v>327</v>
      </c>
      <c r="I33" s="44"/>
    </row>
    <row r="34" spans="2:9" x14ac:dyDescent="0.2">
      <c r="B34" s="154" t="s">
        <v>206</v>
      </c>
      <c r="C34" s="128">
        <v>10488383.189999999</v>
      </c>
      <c r="E34" s="65">
        <v>10861024.73</v>
      </c>
      <c r="G34" s="127"/>
    </row>
    <row r="35" spans="2:9" x14ac:dyDescent="0.2">
      <c r="B35" s="154" t="s">
        <v>202</v>
      </c>
      <c r="C35" s="128">
        <f>SUM(C33:C34)</f>
        <v>-1.7695128917694092E-7</v>
      </c>
      <c r="E35" s="36">
        <f>SUM(E33:E34)</f>
        <v>0</v>
      </c>
      <c r="G35" s="70"/>
    </row>
    <row r="36" spans="2:9" x14ac:dyDescent="0.2">
      <c r="B36" s="160"/>
      <c r="C36" s="128"/>
    </row>
    <row r="39" spans="2:9" x14ac:dyDescent="0.2">
      <c r="B39" s="64" t="s">
        <v>373</v>
      </c>
    </row>
  </sheetData>
  <mergeCells count="4">
    <mergeCell ref="A1:J1"/>
    <mergeCell ref="A2:J2"/>
    <mergeCell ref="A3:J3"/>
    <mergeCell ref="A4:J4"/>
  </mergeCells>
  <phoneticPr fontId="0" type="noConversion"/>
  <pageMargins left="0.59" right="0.54" top="1" bottom="1" header="0.5" footer="0.5"/>
  <pageSetup scale="60" orientation="landscape" horizontalDpi="4294967294" verticalDpi="4294967294" r:id="rId1"/>
  <headerFooter alignWithMargins="0">
    <oddFooter>&amp;L&amp;"Times New Roman,Italic"&amp;9General Accounting&amp;R&amp;"Times New Roman,Italic"&amp;9&amp;T&amp;D</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00B0F0"/>
    <pageSetUpPr fitToPage="1"/>
  </sheetPr>
  <dimension ref="A1:S65"/>
  <sheetViews>
    <sheetView topLeftCell="A10" zoomScaleNormal="100" workbookViewId="0">
      <selection activeCell="L37" sqref="L37"/>
    </sheetView>
  </sheetViews>
  <sheetFormatPr defaultColWidth="9.140625" defaultRowHeight="12.75" x14ac:dyDescent="0.2"/>
  <cols>
    <col min="1" max="1" width="9.85546875" style="10" bestFit="1" customWidth="1"/>
    <col min="2" max="2" width="8.42578125" style="10" bestFit="1" customWidth="1"/>
    <col min="3" max="3" width="10.42578125" style="26" bestFit="1" customWidth="1"/>
    <col min="4" max="4" width="2.7109375" style="26" customWidth="1"/>
    <col min="5" max="5" width="9.85546875" style="10" bestFit="1" customWidth="1"/>
    <col min="6" max="6" width="8.42578125" style="10" bestFit="1" customWidth="1"/>
    <col min="7" max="7" width="15.42578125" style="106" bestFit="1" customWidth="1"/>
    <col min="8" max="8" width="2.7109375" style="10" customWidth="1"/>
    <col min="9" max="9" width="1.85546875" style="21" customWidth="1"/>
    <col min="10" max="10" width="13.140625" style="21" customWidth="1"/>
    <col min="11" max="11" width="2.7109375" style="10" customWidth="1"/>
    <col min="12" max="17" width="12.28515625" style="10" bestFit="1" customWidth="1"/>
    <col min="18" max="19" width="12" style="10" bestFit="1" customWidth="1"/>
    <col min="20" max="16384" width="9.140625" style="10"/>
  </cols>
  <sheetData>
    <row r="1" spans="1:19" x14ac:dyDescent="0.2">
      <c r="A1" s="64" t="s">
        <v>17</v>
      </c>
      <c r="B1" s="64"/>
      <c r="C1" s="104"/>
      <c r="D1" s="104"/>
      <c r="E1" s="64"/>
      <c r="F1" s="64"/>
      <c r="J1" s="37" t="s">
        <v>381</v>
      </c>
    </row>
    <row r="2" spans="1:19" x14ac:dyDescent="0.2">
      <c r="A2" s="64" t="s">
        <v>18</v>
      </c>
      <c r="B2" s="64"/>
      <c r="C2" s="104"/>
      <c r="D2" s="104"/>
      <c r="E2" s="64"/>
      <c r="F2" s="64"/>
    </row>
    <row r="3" spans="1:19" x14ac:dyDescent="0.2">
      <c r="A3" s="64" t="s">
        <v>325</v>
      </c>
      <c r="B3" s="64"/>
      <c r="C3" s="104"/>
      <c r="D3" s="104"/>
      <c r="E3" s="64"/>
      <c r="F3" s="64"/>
    </row>
    <row r="4" spans="1:19" x14ac:dyDescent="0.2">
      <c r="A4" s="64" t="s">
        <v>26</v>
      </c>
      <c r="B4" s="64"/>
      <c r="C4" s="104"/>
      <c r="D4" s="104"/>
      <c r="E4" s="64"/>
      <c r="F4" s="64"/>
    </row>
    <row r="5" spans="1:19" x14ac:dyDescent="0.2">
      <c r="A5" s="105"/>
    </row>
    <row r="6" spans="1:19" ht="15.75" x14ac:dyDescent="0.25">
      <c r="A6" s="161" t="s">
        <v>19</v>
      </c>
      <c r="B6" s="162"/>
      <c r="C6" s="163"/>
      <c r="D6" s="104"/>
      <c r="E6" s="161" t="s">
        <v>20</v>
      </c>
      <c r="F6" s="162"/>
      <c r="G6" s="164"/>
      <c r="H6" s="165" t="s">
        <v>21</v>
      </c>
      <c r="I6" s="22"/>
      <c r="J6" s="278" t="s">
        <v>25</v>
      </c>
    </row>
    <row r="7" spans="1:19" x14ac:dyDescent="0.2">
      <c r="I7" s="23"/>
      <c r="J7" s="23"/>
    </row>
    <row r="8" spans="1:19" ht="25.5" x14ac:dyDescent="0.2">
      <c r="A8" s="166" t="s">
        <v>22</v>
      </c>
      <c r="B8" s="167" t="s">
        <v>23</v>
      </c>
      <c r="C8" s="168" t="s">
        <v>24</v>
      </c>
      <c r="D8" s="168"/>
      <c r="E8" s="166" t="s">
        <v>22</v>
      </c>
      <c r="F8" s="167" t="s">
        <v>23</v>
      </c>
      <c r="G8" s="169" t="s">
        <v>24</v>
      </c>
      <c r="H8" s="168"/>
      <c r="I8" s="24"/>
      <c r="J8" s="24" t="s">
        <v>370</v>
      </c>
    </row>
    <row r="9" spans="1:19" x14ac:dyDescent="0.2">
      <c r="A9" s="60"/>
      <c r="B9" s="170"/>
      <c r="C9" s="171"/>
      <c r="D9" s="171"/>
      <c r="E9" s="60"/>
      <c r="F9" s="170"/>
      <c r="G9" s="172"/>
      <c r="H9" s="171"/>
      <c r="I9" s="25"/>
      <c r="J9" s="25"/>
    </row>
    <row r="10" spans="1:19" x14ac:dyDescent="0.2">
      <c r="A10" s="173">
        <v>10</v>
      </c>
      <c r="B10" s="174">
        <v>2</v>
      </c>
      <c r="C10" s="32">
        <v>-1</v>
      </c>
      <c r="D10" s="32"/>
      <c r="E10" s="174"/>
      <c r="F10" s="174">
        <v>2</v>
      </c>
      <c r="G10" s="175"/>
      <c r="H10" s="28"/>
      <c r="I10" s="23"/>
      <c r="J10" s="23"/>
      <c r="O10" s="7" t="s">
        <v>11</v>
      </c>
      <c r="P10" s="7" t="s">
        <v>12</v>
      </c>
      <c r="Q10" s="10" t="s">
        <v>328</v>
      </c>
      <c r="R10" s="7" t="s">
        <v>11</v>
      </c>
      <c r="S10" s="7" t="s">
        <v>12</v>
      </c>
    </row>
    <row r="11" spans="1:19" x14ac:dyDescent="0.2">
      <c r="A11" s="155"/>
      <c r="B11" s="155"/>
      <c r="E11" s="155"/>
      <c r="F11" s="155"/>
      <c r="H11" s="26"/>
      <c r="I11" s="23"/>
      <c r="J11" s="23"/>
      <c r="O11" s="5"/>
      <c r="P11" s="5"/>
    </row>
    <row r="12" spans="1:19" x14ac:dyDescent="0.2">
      <c r="A12" s="177">
        <v>20</v>
      </c>
      <c r="B12" s="31">
        <v>107</v>
      </c>
      <c r="C12" s="27">
        <f>'Composite FY17'!M19+'Composite FY17'!O19</f>
        <v>9.2300000000000007E-2</v>
      </c>
      <c r="D12" s="27"/>
      <c r="E12" s="31">
        <v>20</v>
      </c>
      <c r="F12" s="31">
        <v>107</v>
      </c>
      <c r="G12" s="178">
        <f>-SUM(G13:G14)</f>
        <v>-1</v>
      </c>
      <c r="H12" s="176"/>
      <c r="I12" s="23"/>
      <c r="J12" s="23"/>
      <c r="N12" s="44" t="s">
        <v>387</v>
      </c>
      <c r="O12" s="110">
        <v>246846679.05000001</v>
      </c>
      <c r="P12" s="110">
        <v>615843381.10000002</v>
      </c>
      <c r="Q12" s="256">
        <f>O12+P12</f>
        <v>862690060.1500001</v>
      </c>
      <c r="R12" s="10">
        <f>O12/Q12</f>
        <v>0.28613599536208817</v>
      </c>
      <c r="S12" s="10">
        <f>P12/Q12</f>
        <v>0.71386400463791178</v>
      </c>
    </row>
    <row r="13" spans="1:19" x14ac:dyDescent="0.2">
      <c r="A13" s="179">
        <v>20</v>
      </c>
      <c r="B13" s="180">
        <v>107</v>
      </c>
      <c r="C13" s="28">
        <f>C12</f>
        <v>9.2300000000000007E-2</v>
      </c>
      <c r="D13" s="28"/>
      <c r="E13" s="180">
        <v>20</v>
      </c>
      <c r="F13" s="180">
        <v>7</v>
      </c>
      <c r="G13" s="181">
        <f>R16</f>
        <v>0.25749612323044324</v>
      </c>
      <c r="H13" s="176"/>
      <c r="I13" s="29"/>
      <c r="J13" s="29">
        <f>'Composite FY17'!M19</f>
        <v>2.3300000000000001E-2</v>
      </c>
      <c r="N13" s="44" t="s">
        <v>388</v>
      </c>
      <c r="O13" s="110">
        <v>74383.42</v>
      </c>
      <c r="P13" s="110">
        <v>273974</v>
      </c>
      <c r="Q13" s="256">
        <f>O13+P13</f>
        <v>348357.42</v>
      </c>
      <c r="R13" s="10">
        <f>O13/Q13</f>
        <v>0.2135261536843395</v>
      </c>
      <c r="S13" s="10">
        <f>P13/Q13</f>
        <v>0.78647384631566053</v>
      </c>
    </row>
    <row r="14" spans="1:19" x14ac:dyDescent="0.2">
      <c r="A14" s="182">
        <v>20</v>
      </c>
      <c r="B14" s="183">
        <v>107</v>
      </c>
      <c r="C14" s="28">
        <f>C13</f>
        <v>9.2300000000000007E-2</v>
      </c>
      <c r="D14" s="30"/>
      <c r="E14" s="183">
        <v>20</v>
      </c>
      <c r="F14" s="183">
        <v>77</v>
      </c>
      <c r="G14" s="184">
        <f>S16</f>
        <v>0.74250387676955676</v>
      </c>
      <c r="H14" s="176"/>
      <c r="I14" s="29"/>
      <c r="J14" s="29">
        <f>'Composite FY17'!O19</f>
        <v>6.9000000000000006E-2</v>
      </c>
      <c r="N14" s="44" t="s">
        <v>389</v>
      </c>
      <c r="O14" s="111">
        <v>8773969.5999999996</v>
      </c>
      <c r="P14" s="111">
        <v>23385584.489999998</v>
      </c>
      <c r="Q14" s="256">
        <f>O14+P14</f>
        <v>32159554.089999996</v>
      </c>
      <c r="R14" s="10">
        <f>O14/Q14</f>
        <v>0.27282622064490203</v>
      </c>
      <c r="S14" s="10">
        <f>P14/Q14</f>
        <v>0.72717377935509808</v>
      </c>
    </row>
    <row r="15" spans="1:19" x14ac:dyDescent="0.2">
      <c r="A15" s="155"/>
      <c r="B15" s="155"/>
      <c r="E15" s="155"/>
      <c r="F15" s="155"/>
      <c r="H15" s="106"/>
      <c r="I15" s="29"/>
      <c r="J15" s="29"/>
    </row>
    <row r="16" spans="1:19" ht="13.5" thickBot="1" x14ac:dyDescent="0.25">
      <c r="A16" s="177">
        <v>30</v>
      </c>
      <c r="B16" s="31">
        <v>10</v>
      </c>
      <c r="C16" s="27">
        <f>'Composite FY17'!I19</f>
        <v>8.1699999999999995E-2</v>
      </c>
      <c r="D16" s="27"/>
      <c r="E16" s="31">
        <v>30</v>
      </c>
      <c r="F16" s="31">
        <v>10</v>
      </c>
      <c r="G16" s="178">
        <v>-1</v>
      </c>
      <c r="H16" s="176"/>
      <c r="I16" s="29"/>
      <c r="J16" s="29"/>
      <c r="O16" s="256">
        <f>SUM(O12:O15)</f>
        <v>255695032.06999999</v>
      </c>
      <c r="P16" s="256">
        <f t="shared" ref="P16" si="0">SUM(P12:P15)</f>
        <v>639502939.59000003</v>
      </c>
      <c r="R16" s="274">
        <f>AVERAGE(R12:R14)</f>
        <v>0.25749612323044324</v>
      </c>
      <c r="S16" s="274">
        <f>AVERAGE(S12:S14)</f>
        <v>0.74250387676955676</v>
      </c>
    </row>
    <row r="17" spans="1:10" ht="13.5" thickTop="1" x14ac:dyDescent="0.2">
      <c r="A17" s="179">
        <v>30</v>
      </c>
      <c r="B17" s="180">
        <v>10</v>
      </c>
      <c r="C17" s="28">
        <f>C16</f>
        <v>8.1699999999999995E-2</v>
      </c>
      <c r="D17" s="28"/>
      <c r="E17" s="180">
        <v>30</v>
      </c>
      <c r="F17" s="180">
        <v>1</v>
      </c>
      <c r="G17" s="181">
        <f>+'West Texas FY17'!J11</f>
        <v>0</v>
      </c>
      <c r="H17" s="176"/>
      <c r="I17" s="29"/>
      <c r="J17" s="29">
        <f>C16-SUM(J18:J33)</f>
        <v>1.9999999975595095E-8</v>
      </c>
    </row>
    <row r="18" spans="1:10" x14ac:dyDescent="0.2">
      <c r="A18" s="179">
        <v>30</v>
      </c>
      <c r="B18" s="180">
        <v>10</v>
      </c>
      <c r="C18" s="28">
        <f t="shared" ref="C18:C33" si="1">C17</f>
        <v>8.1699999999999995E-2</v>
      </c>
      <c r="D18" s="28"/>
      <c r="E18" s="180">
        <v>30</v>
      </c>
      <c r="F18" s="180">
        <v>3</v>
      </c>
      <c r="G18" s="181">
        <f>+'West Texas FY17'!J12</f>
        <v>0.19745003531606078</v>
      </c>
      <c r="H18" s="176"/>
      <c r="I18" s="29"/>
      <c r="J18" s="29">
        <f>ROUND(+C18*G18,8)</f>
        <v>1.6131670000000001E-2</v>
      </c>
    </row>
    <row r="19" spans="1:10" x14ac:dyDescent="0.2">
      <c r="A19" s="179">
        <v>30</v>
      </c>
      <c r="B19" s="180">
        <v>10</v>
      </c>
      <c r="C19" s="28">
        <f t="shared" si="1"/>
        <v>8.1699999999999995E-2</v>
      </c>
      <c r="D19" s="28"/>
      <c r="E19" s="180">
        <v>30</v>
      </c>
      <c r="F19" s="180">
        <v>4</v>
      </c>
      <c r="G19" s="181">
        <f>+'West Texas FY17'!J13</f>
        <v>1.7949136277774552E-3</v>
      </c>
      <c r="H19" s="176"/>
      <c r="I19" s="29"/>
      <c r="J19" s="29">
        <f>ROUND(+C19*G19,8)</f>
        <v>1.4663999999999999E-4</v>
      </c>
    </row>
    <row r="20" spans="1:10" x14ac:dyDescent="0.2">
      <c r="A20" s="179">
        <v>30</v>
      </c>
      <c r="B20" s="180">
        <v>10</v>
      </c>
      <c r="C20" s="28">
        <f t="shared" si="1"/>
        <v>8.1699999999999995E-2</v>
      </c>
      <c r="D20" s="28"/>
      <c r="E20" s="180">
        <v>30</v>
      </c>
      <c r="F20" s="180">
        <v>5</v>
      </c>
      <c r="G20" s="181">
        <f>+'West Texas FY17'!J14</f>
        <v>0.46028973370058185</v>
      </c>
      <c r="H20" s="176"/>
      <c r="I20" s="29"/>
      <c r="J20" s="29">
        <f>ROUND(+C20*G20,8)-0.00000001</f>
        <v>3.7605659999999999E-2</v>
      </c>
    </row>
    <row r="21" spans="1:10" x14ac:dyDescent="0.2">
      <c r="A21" s="179">
        <v>30</v>
      </c>
      <c r="B21" s="180">
        <v>10</v>
      </c>
      <c r="C21" s="28">
        <f t="shared" si="1"/>
        <v>8.1699999999999995E-2</v>
      </c>
      <c r="D21" s="28"/>
      <c r="E21" s="180">
        <v>30</v>
      </c>
      <c r="F21" s="180">
        <v>6</v>
      </c>
      <c r="G21" s="181">
        <f>+'West Texas FY17'!J15</f>
        <v>6.9360197631655697E-3</v>
      </c>
      <c r="H21" s="176"/>
      <c r="I21" s="29"/>
      <c r="J21" s="29">
        <f t="shared" ref="J21:J33" si="2">ROUND(+C21*G21,8)</f>
        <v>5.6667000000000002E-4</v>
      </c>
    </row>
    <row r="22" spans="1:10" x14ac:dyDescent="0.2">
      <c r="A22" s="179">
        <v>30</v>
      </c>
      <c r="B22" s="180">
        <v>10</v>
      </c>
      <c r="C22" s="28">
        <f t="shared" si="1"/>
        <v>8.1699999999999995E-2</v>
      </c>
      <c r="D22" s="28"/>
      <c r="E22" s="180">
        <v>30</v>
      </c>
      <c r="F22" s="180">
        <v>8</v>
      </c>
      <c r="G22" s="181">
        <f>+'West Texas FY17'!J16</f>
        <v>1.2429506850266279E-3</v>
      </c>
      <c r="H22" s="176"/>
      <c r="I22" s="29"/>
      <c r="J22" s="29">
        <f t="shared" si="2"/>
        <v>1.0155E-4</v>
      </c>
    </row>
    <row r="23" spans="1:10" x14ac:dyDescent="0.2">
      <c r="A23" s="179">
        <v>30</v>
      </c>
      <c r="B23" s="180">
        <v>10</v>
      </c>
      <c r="C23" s="28">
        <f t="shared" si="1"/>
        <v>8.1699999999999995E-2</v>
      </c>
      <c r="D23" s="28"/>
      <c r="E23" s="180">
        <v>30</v>
      </c>
      <c r="F23" s="180">
        <v>11</v>
      </c>
      <c r="G23" s="181">
        <f>+'West Texas FY17'!J17</f>
        <v>0</v>
      </c>
      <c r="H23" s="176"/>
      <c r="I23" s="29"/>
      <c r="J23" s="29">
        <f t="shared" si="2"/>
        <v>0</v>
      </c>
    </row>
    <row r="24" spans="1:10" x14ac:dyDescent="0.2">
      <c r="A24" s="179">
        <v>30</v>
      </c>
      <c r="B24" s="180">
        <v>10</v>
      </c>
      <c r="C24" s="28">
        <f t="shared" si="1"/>
        <v>8.1699999999999995E-2</v>
      </c>
      <c r="D24" s="28"/>
      <c r="E24" s="180">
        <v>30</v>
      </c>
      <c r="F24" s="180">
        <v>13</v>
      </c>
      <c r="G24" s="181">
        <f>+'West Texas FY17'!J18</f>
        <v>1.2249722589125904E-2</v>
      </c>
      <c r="H24" s="176"/>
      <c r="I24" s="29"/>
      <c r="J24" s="29">
        <f t="shared" si="2"/>
        <v>1.0008E-3</v>
      </c>
    </row>
    <row r="25" spans="1:10" x14ac:dyDescent="0.2">
      <c r="A25" s="179">
        <v>30</v>
      </c>
      <c r="B25" s="180">
        <v>10</v>
      </c>
      <c r="C25" s="28">
        <f t="shared" si="1"/>
        <v>8.1699999999999995E-2</v>
      </c>
      <c r="D25" s="28"/>
      <c r="E25" s="180">
        <v>30</v>
      </c>
      <c r="F25" s="180">
        <v>14</v>
      </c>
      <c r="G25" s="181">
        <f>+'West Texas FY17'!J19</f>
        <v>0</v>
      </c>
      <c r="H25" s="176"/>
      <c r="I25" s="29"/>
      <c r="J25" s="29">
        <f t="shared" si="2"/>
        <v>0</v>
      </c>
    </row>
    <row r="26" spans="1:10" x14ac:dyDescent="0.2">
      <c r="A26" s="179">
        <v>30</v>
      </c>
      <c r="B26" s="180">
        <v>10</v>
      </c>
      <c r="C26" s="28">
        <f t="shared" si="1"/>
        <v>8.1699999999999995E-2</v>
      </c>
      <c r="D26" s="28"/>
      <c r="E26" s="180">
        <v>30</v>
      </c>
      <c r="F26" s="180">
        <v>15</v>
      </c>
      <c r="G26" s="181">
        <f>+'West Texas FY17'!J20</f>
        <v>0</v>
      </c>
      <c r="H26" s="176"/>
      <c r="I26" s="29"/>
      <c r="J26" s="29">
        <f t="shared" si="2"/>
        <v>0</v>
      </c>
    </row>
    <row r="27" spans="1:10" x14ac:dyDescent="0.2">
      <c r="A27" s="179">
        <v>30</v>
      </c>
      <c r="B27" s="180">
        <v>10</v>
      </c>
      <c r="C27" s="28">
        <f t="shared" si="1"/>
        <v>8.1699999999999995E-2</v>
      </c>
      <c r="D27" s="28"/>
      <c r="E27" s="180">
        <v>30</v>
      </c>
      <c r="F27" s="180">
        <v>16</v>
      </c>
      <c r="G27" s="181">
        <f>+'West Texas FY17'!J21</f>
        <v>0.20157775239169443</v>
      </c>
      <c r="H27" s="176"/>
      <c r="I27" s="29"/>
      <c r="J27" s="29">
        <f t="shared" si="2"/>
        <v>1.6468900000000002E-2</v>
      </c>
    </row>
    <row r="28" spans="1:10" x14ac:dyDescent="0.2">
      <c r="A28" s="179">
        <v>30</v>
      </c>
      <c r="B28" s="180">
        <v>10</v>
      </c>
      <c r="C28" s="28">
        <f t="shared" si="1"/>
        <v>8.1699999999999995E-2</v>
      </c>
      <c r="D28" s="28"/>
      <c r="E28" s="180">
        <v>30</v>
      </c>
      <c r="F28" s="180">
        <v>17</v>
      </c>
      <c r="G28" s="181">
        <f>+'West Texas FY17'!J22</f>
        <v>2.2212814837606836E-5</v>
      </c>
      <c r="H28" s="176"/>
      <c r="I28" s="29"/>
      <c r="J28" s="29">
        <f t="shared" si="2"/>
        <v>1.81E-6</v>
      </c>
    </row>
    <row r="29" spans="1:10" x14ac:dyDescent="0.2">
      <c r="A29" s="179">
        <v>30</v>
      </c>
      <c r="B29" s="180">
        <v>10</v>
      </c>
      <c r="C29" s="28">
        <f t="shared" si="1"/>
        <v>8.1699999999999995E-2</v>
      </c>
      <c r="D29" s="28"/>
      <c r="E29" s="180">
        <v>30</v>
      </c>
      <c r="F29" s="180">
        <v>18</v>
      </c>
      <c r="G29" s="181">
        <f>+'West Texas FY17'!J23</f>
        <v>4.1649431392051404E-4</v>
      </c>
      <c r="H29" s="176"/>
      <c r="I29" s="29"/>
      <c r="J29" s="29">
        <f t="shared" si="2"/>
        <v>3.4029999999999998E-5</v>
      </c>
    </row>
    <row r="30" spans="1:10" x14ac:dyDescent="0.2">
      <c r="A30" s="179">
        <v>30</v>
      </c>
      <c r="B30" s="180">
        <v>10</v>
      </c>
      <c r="C30" s="28">
        <f t="shared" si="1"/>
        <v>8.1699999999999995E-2</v>
      </c>
      <c r="D30" s="28"/>
      <c r="E30" s="180">
        <v>30</v>
      </c>
      <c r="F30" s="180">
        <v>19</v>
      </c>
      <c r="G30" s="181">
        <f>+'West Texas FY17'!J24</f>
        <v>4.4600952606628975E-2</v>
      </c>
      <c r="H30" s="185"/>
      <c r="I30" s="29"/>
      <c r="J30" s="29">
        <f t="shared" si="2"/>
        <v>3.6438999999999998E-3</v>
      </c>
    </row>
    <row r="31" spans="1:10" x14ac:dyDescent="0.2">
      <c r="A31" s="179">
        <v>30</v>
      </c>
      <c r="B31" s="180">
        <v>10</v>
      </c>
      <c r="C31" s="28">
        <f t="shared" si="1"/>
        <v>8.1699999999999995E-2</v>
      </c>
      <c r="D31" s="28"/>
      <c r="E31" s="180">
        <v>30</v>
      </c>
      <c r="F31" s="180">
        <v>20</v>
      </c>
      <c r="G31" s="181">
        <f>+'West Texas FY17'!J25</f>
        <v>1.2116442641368233E-2</v>
      </c>
      <c r="H31" s="185"/>
      <c r="I31" s="29"/>
      <c r="J31" s="29">
        <f t="shared" si="2"/>
        <v>9.899100000000001E-4</v>
      </c>
    </row>
    <row r="32" spans="1:10" x14ac:dyDescent="0.2">
      <c r="A32" s="179">
        <v>30</v>
      </c>
      <c r="B32" s="180">
        <v>10</v>
      </c>
      <c r="C32" s="28">
        <f t="shared" si="1"/>
        <v>8.1699999999999995E-2</v>
      </c>
      <c r="D32" s="28"/>
      <c r="E32" s="180">
        <v>30</v>
      </c>
      <c r="F32" s="180">
        <v>21</v>
      </c>
      <c r="G32" s="181">
        <f>+'West Texas FY17'!J26</f>
        <v>6.130276954981214E-2</v>
      </c>
      <c r="H32" s="176"/>
      <c r="I32" s="29"/>
      <c r="J32" s="29">
        <f t="shared" si="2"/>
        <v>5.0084400000000003E-3</v>
      </c>
    </row>
    <row r="33" spans="1:10" x14ac:dyDescent="0.2">
      <c r="A33" s="182">
        <v>30</v>
      </c>
      <c r="B33" s="183">
        <v>10</v>
      </c>
      <c r="C33" s="28">
        <f t="shared" si="1"/>
        <v>8.1699999999999995E-2</v>
      </c>
      <c r="D33" s="30"/>
      <c r="E33" s="183">
        <v>30</v>
      </c>
      <c r="F33" s="183">
        <v>40</v>
      </c>
      <c r="G33" s="184">
        <f>+'West Texas FY17'!J27</f>
        <v>0</v>
      </c>
      <c r="H33" s="176"/>
      <c r="I33" s="29"/>
      <c r="J33" s="29">
        <f t="shared" si="2"/>
        <v>0</v>
      </c>
    </row>
    <row r="34" spans="1:10" x14ac:dyDescent="0.2">
      <c r="A34" s="180"/>
      <c r="B34" s="180"/>
      <c r="C34" s="28"/>
      <c r="D34" s="28"/>
      <c r="E34" s="180"/>
      <c r="F34" s="180"/>
      <c r="G34" s="176"/>
      <c r="H34" s="176"/>
      <c r="I34" s="29"/>
      <c r="J34" s="29"/>
    </row>
    <row r="35" spans="1:10" x14ac:dyDescent="0.2">
      <c r="A35" s="177">
        <v>50</v>
      </c>
      <c r="B35" s="31">
        <v>91</v>
      </c>
      <c r="C35" s="27">
        <f>'Composite FY17'!Q19</f>
        <v>0.10349999999999999</v>
      </c>
      <c r="D35" s="27"/>
      <c r="E35" s="186"/>
      <c r="F35" s="186"/>
      <c r="G35" s="178"/>
      <c r="H35" s="114"/>
      <c r="I35" s="29"/>
      <c r="J35" s="29"/>
    </row>
    <row r="36" spans="1:10" x14ac:dyDescent="0.2">
      <c r="A36" s="179">
        <v>50</v>
      </c>
      <c r="B36" s="180">
        <v>91</v>
      </c>
      <c r="C36" s="28">
        <f>C35</f>
        <v>0.10349999999999999</v>
      </c>
      <c r="D36" s="28"/>
      <c r="E36" s="114"/>
      <c r="F36" s="114"/>
      <c r="G36" s="181"/>
      <c r="H36" s="114"/>
      <c r="I36" s="29"/>
      <c r="J36" s="29"/>
    </row>
    <row r="37" spans="1:10" x14ac:dyDescent="0.2">
      <c r="A37" s="179">
        <v>50</v>
      </c>
      <c r="B37" s="180">
        <v>91</v>
      </c>
      <c r="C37" s="28">
        <f>C36</f>
        <v>0.10349999999999999</v>
      </c>
      <c r="D37" s="28"/>
      <c r="E37" s="180">
        <v>50</v>
      </c>
      <c r="F37" s="180">
        <v>91</v>
      </c>
      <c r="G37" s="181">
        <v>-1</v>
      </c>
      <c r="H37" s="176"/>
      <c r="I37" s="29"/>
      <c r="J37" s="29"/>
    </row>
    <row r="38" spans="1:10" x14ac:dyDescent="0.2">
      <c r="A38" s="179">
        <v>50</v>
      </c>
      <c r="B38" s="180">
        <v>91</v>
      </c>
      <c r="C38" s="28">
        <f t="shared" ref="C38:C40" si="3">C37</f>
        <v>0.10349999999999999</v>
      </c>
      <c r="D38" s="28"/>
      <c r="E38" s="180">
        <v>50</v>
      </c>
      <c r="F38" s="180">
        <v>9</v>
      </c>
      <c r="G38" s="181">
        <f>'Mid States FY17'!J10/100</f>
        <v>0.5025136071712456</v>
      </c>
      <c r="H38" s="176"/>
      <c r="I38" s="29"/>
      <c r="J38" s="29">
        <f>C38-SUM(J39:J40)</f>
        <v>5.201016E-2</v>
      </c>
    </row>
    <row r="39" spans="1:10" x14ac:dyDescent="0.2">
      <c r="A39" s="179">
        <v>50</v>
      </c>
      <c r="B39" s="180">
        <v>91</v>
      </c>
      <c r="C39" s="28">
        <f t="shared" si="3"/>
        <v>0.10349999999999999</v>
      </c>
      <c r="D39" s="28"/>
      <c r="E39" s="180">
        <v>50</v>
      </c>
      <c r="F39" s="180">
        <v>93</v>
      </c>
      <c r="G39" s="181">
        <f>'Mid States FY17'!J11/100</f>
        <v>0.41877487553916831</v>
      </c>
      <c r="H39" s="176"/>
      <c r="I39" s="29"/>
      <c r="J39" s="29">
        <f>ROUND(+C39*G39,8)</f>
        <v>4.3343199999999998E-2</v>
      </c>
    </row>
    <row r="40" spans="1:10" x14ac:dyDescent="0.2">
      <c r="A40" s="179">
        <v>50</v>
      </c>
      <c r="B40" s="180">
        <v>91</v>
      </c>
      <c r="C40" s="28">
        <f t="shared" si="3"/>
        <v>0.10349999999999999</v>
      </c>
      <c r="D40" s="28"/>
      <c r="E40" s="180">
        <v>50</v>
      </c>
      <c r="F40" s="180">
        <v>96</v>
      </c>
      <c r="G40" s="181">
        <f>'Mid States FY17'!J12/100</f>
        <v>7.8711517289586197E-2</v>
      </c>
      <c r="H40" s="176"/>
      <c r="I40" s="29"/>
      <c r="J40" s="29">
        <f t="shared" ref="J40" si="4">ROUND(+C40*G40,8)</f>
        <v>8.1466400000000001E-3</v>
      </c>
    </row>
    <row r="41" spans="1:10" x14ac:dyDescent="0.2">
      <c r="A41" s="155"/>
      <c r="B41" s="155"/>
      <c r="E41" s="155"/>
      <c r="F41" s="155"/>
      <c r="H41" s="106"/>
      <c r="I41" s="23"/>
      <c r="J41" s="23"/>
    </row>
    <row r="42" spans="1:10" x14ac:dyDescent="0.2">
      <c r="A42" s="177">
        <v>60</v>
      </c>
      <c r="B42" s="31">
        <v>30</v>
      </c>
      <c r="C42" s="27">
        <f>'Composite FY17'!K19</f>
        <v>6.8000000000000005E-2</v>
      </c>
      <c r="D42" s="27"/>
      <c r="E42" s="31">
        <v>60</v>
      </c>
      <c r="F42" s="31">
        <v>30</v>
      </c>
      <c r="G42" s="178">
        <v>-1</v>
      </c>
      <c r="H42" s="176"/>
      <c r="I42" s="23"/>
      <c r="J42" s="23"/>
    </row>
    <row r="43" spans="1:10" x14ac:dyDescent="0.2">
      <c r="A43" s="179">
        <v>60</v>
      </c>
      <c r="B43" s="180">
        <v>30</v>
      </c>
      <c r="C43" s="28">
        <f>C42</f>
        <v>6.8000000000000005E-2</v>
      </c>
      <c r="D43" s="28"/>
      <c r="E43" s="180">
        <v>60</v>
      </c>
      <c r="F43" s="180">
        <v>31</v>
      </c>
      <c r="G43" s="181">
        <f>'CO KS FY17'!J11</f>
        <v>0.42507478688755618</v>
      </c>
      <c r="H43" s="176"/>
      <c r="I43" s="29"/>
      <c r="J43" s="29">
        <f>ROUND(+C43*G43,8)</f>
        <v>2.8905090000000001E-2</v>
      </c>
    </row>
    <row r="44" spans="1:10" x14ac:dyDescent="0.2">
      <c r="A44" s="182">
        <v>60</v>
      </c>
      <c r="B44" s="183">
        <v>30</v>
      </c>
      <c r="C44" s="30">
        <f>C43</f>
        <v>6.8000000000000005E-2</v>
      </c>
      <c r="D44" s="30"/>
      <c r="E44" s="183">
        <v>60</v>
      </c>
      <c r="F44" s="183">
        <v>81</v>
      </c>
      <c r="G44" s="184">
        <f>'CO KS FY17'!J12</f>
        <v>0.57492521311244393</v>
      </c>
      <c r="H44" s="176"/>
      <c r="I44" s="29"/>
      <c r="J44" s="29">
        <f>C42-SUM(J43:J43)</f>
        <v>3.9094910000000004E-2</v>
      </c>
    </row>
    <row r="45" spans="1:10" x14ac:dyDescent="0.2">
      <c r="A45" s="155"/>
      <c r="B45" s="155"/>
      <c r="E45" s="155"/>
      <c r="F45" s="155"/>
      <c r="H45" s="106"/>
      <c r="I45" s="23"/>
      <c r="J45" s="23"/>
    </row>
    <row r="46" spans="1:10" x14ac:dyDescent="0.2">
      <c r="A46" s="173">
        <v>70</v>
      </c>
      <c r="B46" s="174">
        <v>170</v>
      </c>
      <c r="C46" s="32">
        <f>'Composite FY17'!S19</f>
        <v>7.1400000000000005E-2</v>
      </c>
      <c r="D46" s="32"/>
      <c r="E46" s="174"/>
      <c r="F46" s="174">
        <v>170</v>
      </c>
      <c r="G46" s="175"/>
      <c r="H46" s="176"/>
      <c r="I46" s="29"/>
      <c r="J46" s="29">
        <f>ROUND(+C46,8)</f>
        <v>7.1400000000000005E-2</v>
      </c>
    </row>
    <row r="47" spans="1:10" x14ac:dyDescent="0.2">
      <c r="A47" s="155"/>
      <c r="B47" s="155"/>
      <c r="E47" s="155"/>
      <c r="F47" s="155"/>
      <c r="H47" s="106"/>
      <c r="I47" s="23"/>
      <c r="J47" s="23"/>
    </row>
    <row r="48" spans="1:10" x14ac:dyDescent="0.2">
      <c r="A48" s="173">
        <v>80</v>
      </c>
      <c r="B48" s="174">
        <v>190</v>
      </c>
      <c r="C48" s="32">
        <f>'Composite FY17'!U19</f>
        <v>0.40060000000000001</v>
      </c>
      <c r="D48" s="32"/>
      <c r="E48" s="174"/>
      <c r="F48" s="174">
        <v>190</v>
      </c>
      <c r="G48" s="175"/>
      <c r="H48" s="106"/>
      <c r="I48" s="29"/>
      <c r="J48" s="29">
        <f>ROUND(+C48,8)</f>
        <v>0.40060000000000001</v>
      </c>
    </row>
    <row r="49" spans="1:10" x14ac:dyDescent="0.2">
      <c r="A49" s="155"/>
      <c r="B49" s="155"/>
      <c r="E49" s="155"/>
      <c r="F49" s="155"/>
      <c r="H49" s="187"/>
      <c r="I49" s="23"/>
      <c r="J49" s="23"/>
    </row>
    <row r="50" spans="1:10" x14ac:dyDescent="0.2">
      <c r="A50" s="173">
        <v>180</v>
      </c>
      <c r="B50" s="174">
        <v>700</v>
      </c>
      <c r="C50" s="32">
        <f>'Composite FY17'!W19</f>
        <v>0.17910000000000001</v>
      </c>
      <c r="D50" s="32"/>
      <c r="E50" s="174"/>
      <c r="F50" s="174">
        <v>700</v>
      </c>
      <c r="G50" s="175"/>
      <c r="H50" s="187"/>
      <c r="I50" s="29"/>
      <c r="J50" s="29">
        <f>ROUND(+C50,8)</f>
        <v>0.17910000000000001</v>
      </c>
    </row>
    <row r="51" spans="1:10" x14ac:dyDescent="0.2">
      <c r="A51" s="155"/>
      <c r="B51" s="155"/>
      <c r="E51" s="155"/>
      <c r="F51" s="155"/>
    </row>
    <row r="52" spans="1:10" x14ac:dyDescent="0.2">
      <c r="A52" s="173">
        <v>212</v>
      </c>
      <c r="B52" s="174">
        <v>821</v>
      </c>
      <c r="C52" s="32">
        <f>'Composite FY17'!Y19</f>
        <v>0</v>
      </c>
      <c r="D52" s="32"/>
      <c r="E52" s="174"/>
      <c r="F52" s="174">
        <v>821</v>
      </c>
      <c r="G52" s="175"/>
      <c r="J52" s="29">
        <f>ROUND(+C52,8)</f>
        <v>0</v>
      </c>
    </row>
    <row r="53" spans="1:10" x14ac:dyDescent="0.2">
      <c r="A53" s="155"/>
      <c r="B53" s="155"/>
      <c r="E53" s="155"/>
      <c r="F53" s="155"/>
    </row>
    <row r="54" spans="1:10" x14ac:dyDescent="0.2">
      <c r="A54" s="173">
        <v>232</v>
      </c>
      <c r="B54" s="174">
        <v>800</v>
      </c>
      <c r="C54" s="32">
        <f>'Composite FY17'!AA19</f>
        <v>5.0000000000000001E-4</v>
      </c>
      <c r="D54" s="32"/>
      <c r="E54" s="174"/>
      <c r="F54" s="174">
        <v>800</v>
      </c>
      <c r="G54" s="175"/>
      <c r="J54" s="29">
        <f>ROUND(+C54,8)</f>
        <v>5.0000000000000001E-4</v>
      </c>
    </row>
    <row r="55" spans="1:10" x14ac:dyDescent="0.2">
      <c r="A55" s="155"/>
      <c r="B55" s="155"/>
      <c r="E55" s="155"/>
      <c r="F55" s="155"/>
    </row>
    <row r="56" spans="1:10" x14ac:dyDescent="0.2">
      <c r="A56" s="173">
        <v>233</v>
      </c>
      <c r="B56" s="174">
        <v>817</v>
      </c>
      <c r="C56" s="32">
        <f>'Composite FY17'!AG19</f>
        <v>5.0000000000000001E-4</v>
      </c>
      <c r="D56" s="32"/>
      <c r="E56" s="174"/>
      <c r="F56" s="174">
        <v>817</v>
      </c>
      <c r="G56" s="175"/>
      <c r="J56" s="29">
        <f>ROUND(+C56,8)</f>
        <v>5.0000000000000001E-4</v>
      </c>
    </row>
    <row r="57" spans="1:10" x14ac:dyDescent="0.2">
      <c r="A57" s="155"/>
      <c r="B57" s="155"/>
      <c r="E57" s="155"/>
      <c r="F57" s="155"/>
    </row>
    <row r="58" spans="1:10" x14ac:dyDescent="0.2">
      <c r="A58" s="173">
        <v>303</v>
      </c>
      <c r="B58" s="174">
        <v>57</v>
      </c>
      <c r="C58" s="32">
        <f>'Composite FY17'!AE19</f>
        <v>1.8E-3</v>
      </c>
      <c r="D58" s="32"/>
      <c r="E58" s="174"/>
      <c r="F58" s="174">
        <v>57</v>
      </c>
      <c r="G58" s="175"/>
      <c r="J58" s="29">
        <f>ROUND(+C58,8)</f>
        <v>1.8E-3</v>
      </c>
    </row>
    <row r="59" spans="1:10" x14ac:dyDescent="0.2">
      <c r="A59" s="180"/>
      <c r="B59" s="180"/>
      <c r="C59" s="28"/>
      <c r="D59" s="28"/>
      <c r="E59" s="180"/>
      <c r="F59" s="180"/>
      <c r="G59" s="176"/>
      <c r="J59" s="29"/>
    </row>
    <row r="60" spans="1:10" x14ac:dyDescent="0.2">
      <c r="A60" s="173">
        <v>234</v>
      </c>
      <c r="B60" s="174">
        <v>822</v>
      </c>
      <c r="C60" s="32">
        <f>'Composite FY17'!AC19</f>
        <v>5.9999999999999995E-4</v>
      </c>
      <c r="D60" s="32"/>
      <c r="E60" s="174"/>
      <c r="F60" s="174">
        <v>822</v>
      </c>
      <c r="G60" s="175"/>
      <c r="J60" s="29">
        <f>1-SUM(J13:J58)</f>
        <v>6.0000000000004494E-4</v>
      </c>
    </row>
    <row r="61" spans="1:10" x14ac:dyDescent="0.2">
      <c r="B61" s="155"/>
      <c r="E61" s="155"/>
      <c r="F61" s="155"/>
    </row>
    <row r="62" spans="1:10" x14ac:dyDescent="0.2">
      <c r="A62" s="10" t="s">
        <v>1</v>
      </c>
      <c r="B62" s="155"/>
      <c r="C62" s="26">
        <f>+C50+C48+C46+C42+C35+C16+C12+C52+C54+C56+C58+C60</f>
        <v>1</v>
      </c>
      <c r="E62" s="155"/>
      <c r="F62" s="155"/>
      <c r="I62" s="33"/>
      <c r="J62" s="33">
        <f>SUM(J13:J60)</f>
        <v>1</v>
      </c>
    </row>
    <row r="63" spans="1:10" x14ac:dyDescent="0.2">
      <c r="B63" s="155"/>
      <c r="E63" s="155"/>
      <c r="F63" s="155"/>
    </row>
    <row r="64" spans="1:10" x14ac:dyDescent="0.2">
      <c r="B64" s="155"/>
      <c r="E64" s="155"/>
      <c r="F64" s="155"/>
    </row>
    <row r="65" spans="2:6" x14ac:dyDescent="0.2">
      <c r="B65" s="155"/>
      <c r="E65" s="155"/>
      <c r="F65" s="155"/>
    </row>
  </sheetData>
  <phoneticPr fontId="10" type="noConversion"/>
  <printOptions horizontalCentered="1"/>
  <pageMargins left="0.25" right="0.25" top="0.25" bottom="0.75" header="0.3" footer="0.3"/>
  <pageSetup scale="68" orientation="landscape" horizontalDpi="4294967294" verticalDpi="4294967294" r:id="rId1"/>
  <headerFooter alignWithMargins="0">
    <oddFooter>&amp;C&amp;Z&amp;F
&amp;A</oddFooter>
  </headerFooter>
  <rowBreaks count="1" manualBreakCount="1">
    <brk id="6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F0"/>
    <pageSetUpPr fitToPage="1"/>
  </sheetPr>
  <dimension ref="A1:S65"/>
  <sheetViews>
    <sheetView tabSelected="1" topLeftCell="A13" zoomScaleNormal="100" workbookViewId="0">
      <selection activeCell="U46" sqref="U46"/>
    </sheetView>
  </sheetViews>
  <sheetFormatPr defaultColWidth="9.140625" defaultRowHeight="12.75" x14ac:dyDescent="0.2"/>
  <cols>
    <col min="1" max="1" width="9.85546875" style="10" bestFit="1" customWidth="1"/>
    <col min="2" max="2" width="8.42578125" style="10" bestFit="1" customWidth="1"/>
    <col min="3" max="3" width="20.5703125" style="26" bestFit="1" customWidth="1"/>
    <col min="4" max="4" width="2.7109375" style="26" customWidth="1"/>
    <col min="5" max="5" width="9.85546875" style="10" bestFit="1" customWidth="1"/>
    <col min="6" max="6" width="8.42578125" style="10" bestFit="1" customWidth="1"/>
    <col min="7" max="7" width="15.42578125" style="106" bestFit="1" customWidth="1"/>
    <col min="8" max="8" width="2.7109375" style="10" customWidth="1"/>
    <col min="9" max="9" width="1.85546875" style="21" customWidth="1"/>
    <col min="10" max="10" width="13.140625" style="21" customWidth="1"/>
    <col min="11" max="11" width="2.7109375" style="10" customWidth="1"/>
    <col min="12" max="17" width="12.28515625" style="10" bestFit="1" customWidth="1"/>
    <col min="18" max="19" width="12" style="10" bestFit="1" customWidth="1"/>
    <col min="20" max="16384" width="9.140625" style="10"/>
  </cols>
  <sheetData>
    <row r="1" spans="1:19" x14ac:dyDescent="0.2">
      <c r="A1" s="64" t="s">
        <v>17</v>
      </c>
      <c r="B1" s="64"/>
      <c r="C1" s="104"/>
      <c r="D1" s="104"/>
      <c r="E1" s="64"/>
      <c r="F1" s="64"/>
      <c r="J1" s="37" t="s">
        <v>381</v>
      </c>
    </row>
    <row r="2" spans="1:19" x14ac:dyDescent="0.2">
      <c r="A2" s="64" t="s">
        <v>18</v>
      </c>
      <c r="B2" s="64"/>
      <c r="C2" s="104"/>
      <c r="D2" s="104"/>
      <c r="E2" s="64"/>
      <c r="F2" s="64"/>
    </row>
    <row r="3" spans="1:19" x14ac:dyDescent="0.2">
      <c r="A3" s="64" t="s">
        <v>325</v>
      </c>
      <c r="B3" s="64"/>
      <c r="C3" s="104"/>
      <c r="D3" s="104"/>
      <c r="E3" s="64"/>
      <c r="F3" s="64"/>
    </row>
    <row r="4" spans="1:19" x14ac:dyDescent="0.2">
      <c r="A4" s="64" t="s">
        <v>26</v>
      </c>
      <c r="B4" s="64"/>
      <c r="C4" s="104"/>
      <c r="D4" s="104"/>
      <c r="E4" s="64"/>
      <c r="F4" s="64"/>
    </row>
    <row r="5" spans="1:19" x14ac:dyDescent="0.2">
      <c r="A5" s="105"/>
    </row>
    <row r="6" spans="1:19" ht="15.75" x14ac:dyDescent="0.25">
      <c r="A6" s="161" t="s">
        <v>19</v>
      </c>
      <c r="B6" s="162"/>
      <c r="C6" s="163"/>
      <c r="D6" s="104"/>
      <c r="E6" s="161" t="s">
        <v>20</v>
      </c>
      <c r="F6" s="162"/>
      <c r="G6" s="164"/>
      <c r="H6" s="165" t="s">
        <v>21</v>
      </c>
      <c r="I6" s="22"/>
      <c r="J6" s="278" t="s">
        <v>334</v>
      </c>
    </row>
    <row r="7" spans="1:19" x14ac:dyDescent="0.2">
      <c r="I7" s="23"/>
      <c r="J7" s="23"/>
    </row>
    <row r="8" spans="1:19" ht="25.5" x14ac:dyDescent="0.2">
      <c r="A8" s="166" t="s">
        <v>22</v>
      </c>
      <c r="B8" s="167" t="s">
        <v>23</v>
      </c>
      <c r="C8" s="168" t="s">
        <v>24</v>
      </c>
      <c r="D8" s="168"/>
      <c r="E8" s="166" t="s">
        <v>22</v>
      </c>
      <c r="F8" s="167" t="s">
        <v>23</v>
      </c>
      <c r="G8" s="169" t="s">
        <v>24</v>
      </c>
      <c r="H8" s="168"/>
      <c r="I8" s="24"/>
      <c r="J8" s="24" t="s">
        <v>370</v>
      </c>
    </row>
    <row r="9" spans="1:19" x14ac:dyDescent="0.2">
      <c r="A9" s="60"/>
      <c r="B9" s="170"/>
      <c r="C9" s="171"/>
      <c r="D9" s="171"/>
      <c r="E9" s="60"/>
      <c r="F9" s="170"/>
      <c r="G9" s="172"/>
      <c r="H9" s="171"/>
      <c r="I9" s="25"/>
      <c r="J9" s="25"/>
    </row>
    <row r="10" spans="1:19" x14ac:dyDescent="0.2">
      <c r="A10" s="173">
        <v>10</v>
      </c>
      <c r="B10" s="174">
        <v>2</v>
      </c>
      <c r="C10" s="32">
        <v>-1</v>
      </c>
      <c r="D10" s="32"/>
      <c r="E10" s="174"/>
      <c r="F10" s="174">
        <v>2</v>
      </c>
      <c r="G10" s="175"/>
      <c r="H10" s="28"/>
      <c r="I10" s="23"/>
      <c r="J10" s="23"/>
      <c r="O10" s="7" t="s">
        <v>11</v>
      </c>
      <c r="P10" s="7" t="s">
        <v>12</v>
      </c>
      <c r="Q10" s="10" t="s">
        <v>328</v>
      </c>
      <c r="R10" s="7" t="s">
        <v>11</v>
      </c>
      <c r="S10" s="7" t="s">
        <v>12</v>
      </c>
    </row>
    <row r="11" spans="1:19" x14ac:dyDescent="0.2">
      <c r="A11" s="155"/>
      <c r="B11" s="155"/>
      <c r="E11" s="155"/>
      <c r="F11" s="155"/>
      <c r="H11" s="26"/>
      <c r="I11" s="23"/>
      <c r="J11" s="23"/>
      <c r="O11" s="5"/>
      <c r="P11" s="5"/>
    </row>
    <row r="12" spans="1:19" x14ac:dyDescent="0.2">
      <c r="A12" s="177">
        <v>20</v>
      </c>
      <c r="B12" s="31">
        <v>107</v>
      </c>
      <c r="C12" s="27">
        <f>'Composite FY17'!M243+'Composite FY17'!O243</f>
        <v>0.11259999999999999</v>
      </c>
      <c r="D12" s="27"/>
      <c r="E12" s="31">
        <v>20</v>
      </c>
      <c r="F12" s="31">
        <v>107</v>
      </c>
      <c r="G12" s="178">
        <f>-SUM(G13:G14)</f>
        <v>-1</v>
      </c>
      <c r="H12" s="176"/>
      <c r="I12" s="23"/>
      <c r="J12" s="23"/>
      <c r="N12" s="44" t="s">
        <v>387</v>
      </c>
      <c r="O12" s="110">
        <v>246846679.05000001</v>
      </c>
      <c r="P12" s="110">
        <v>615843381.10000002</v>
      </c>
      <c r="Q12" s="256">
        <f>O12+P12</f>
        <v>862690060.1500001</v>
      </c>
      <c r="R12" s="10">
        <f>O12/Q12</f>
        <v>0.28613599536208817</v>
      </c>
      <c r="S12" s="10">
        <f>P12/Q12</f>
        <v>0.71386400463791178</v>
      </c>
    </row>
    <row r="13" spans="1:19" x14ac:dyDescent="0.2">
      <c r="A13" s="179">
        <v>20</v>
      </c>
      <c r="B13" s="180">
        <v>107</v>
      </c>
      <c r="C13" s="28">
        <f>C12</f>
        <v>0.11259999999999999</v>
      </c>
      <c r="D13" s="28"/>
      <c r="E13" s="180">
        <v>20</v>
      </c>
      <c r="F13" s="180">
        <v>7</v>
      </c>
      <c r="G13" s="181">
        <f>R16</f>
        <v>0.25749612323044324</v>
      </c>
      <c r="H13" s="176"/>
      <c r="I13" s="29"/>
      <c r="J13" s="29">
        <f>'Div 002 Rates'!J13*'Div 002 Rates (Excluding APT)'!C13/'Div 002 Rates'!C13</f>
        <v>2.8424485373781144E-2</v>
      </c>
      <c r="N13" s="44" t="s">
        <v>388</v>
      </c>
      <c r="O13" s="110">
        <v>74383.42</v>
      </c>
      <c r="P13" s="110">
        <v>273974</v>
      </c>
      <c r="Q13" s="256">
        <f>O13+P13</f>
        <v>348357.42</v>
      </c>
      <c r="R13" s="10">
        <f>O13/Q13</f>
        <v>0.2135261536843395</v>
      </c>
      <c r="S13" s="10">
        <f>P13/Q13</f>
        <v>0.78647384631566053</v>
      </c>
    </row>
    <row r="14" spans="1:19" x14ac:dyDescent="0.2">
      <c r="A14" s="182">
        <v>20</v>
      </c>
      <c r="B14" s="183">
        <v>107</v>
      </c>
      <c r="C14" s="30">
        <f>C13</f>
        <v>0.11259999999999999</v>
      </c>
      <c r="D14" s="30"/>
      <c r="E14" s="183">
        <v>20</v>
      </c>
      <c r="F14" s="183">
        <v>77</v>
      </c>
      <c r="G14" s="184">
        <f>S16</f>
        <v>0.74250387676955676</v>
      </c>
      <c r="H14" s="176"/>
      <c r="I14" s="29"/>
      <c r="J14" s="29">
        <f>'Div 002 Rates'!J14*'Div 002 Rates (Excluding APT)'!C14/'Div 002 Rates'!C14</f>
        <v>8.4175514626218848E-2</v>
      </c>
      <c r="N14" s="44" t="s">
        <v>389</v>
      </c>
      <c r="O14" s="111">
        <v>8773969.5999999996</v>
      </c>
      <c r="P14" s="111">
        <v>23385584.489999998</v>
      </c>
      <c r="Q14" s="256">
        <f>O14+P14</f>
        <v>32159554.089999996</v>
      </c>
      <c r="R14" s="10">
        <f>O14/Q14</f>
        <v>0.27282622064490203</v>
      </c>
      <c r="S14" s="10">
        <f>P14/Q14</f>
        <v>0.72717377935509808</v>
      </c>
    </row>
    <row r="15" spans="1:19" x14ac:dyDescent="0.2">
      <c r="A15" s="155"/>
      <c r="B15" s="155"/>
      <c r="E15" s="155"/>
      <c r="F15" s="155"/>
      <c r="H15" s="106"/>
      <c r="I15" s="29"/>
      <c r="J15" s="29"/>
    </row>
    <row r="16" spans="1:19" ht="13.5" thickBot="1" x14ac:dyDescent="0.25">
      <c r="A16" s="177">
        <v>30</v>
      </c>
      <c r="B16" s="31">
        <v>10</v>
      </c>
      <c r="C16" s="27">
        <f>'Composite FY17'!I243</f>
        <v>0.10589999999999999</v>
      </c>
      <c r="D16" s="27"/>
      <c r="E16" s="31">
        <v>30</v>
      </c>
      <c r="F16" s="31">
        <v>10</v>
      </c>
      <c r="G16" s="178">
        <v>-1</v>
      </c>
      <c r="H16" s="176"/>
      <c r="I16" s="29"/>
      <c r="J16" s="29"/>
      <c r="O16" s="256">
        <f>SUM(O12:O15)</f>
        <v>255695032.06999999</v>
      </c>
      <c r="P16" s="256">
        <f t="shared" ref="P16" si="0">SUM(P12:P15)</f>
        <v>639502939.59000003</v>
      </c>
      <c r="R16" s="274">
        <f>AVERAGE(R12:R14)</f>
        <v>0.25749612323044324</v>
      </c>
      <c r="S16" s="274">
        <f>AVERAGE(S12:S14)</f>
        <v>0.74250387676955676</v>
      </c>
    </row>
    <row r="17" spans="1:10" ht="13.5" thickTop="1" x14ac:dyDescent="0.2">
      <c r="A17" s="179">
        <v>30</v>
      </c>
      <c r="B17" s="180">
        <v>10</v>
      </c>
      <c r="C17" s="28">
        <f>C16</f>
        <v>0.10589999999999999</v>
      </c>
      <c r="D17" s="28"/>
      <c r="E17" s="180">
        <v>30</v>
      </c>
      <c r="F17" s="180">
        <v>1</v>
      </c>
      <c r="G17" s="181">
        <f>+'West Texas FY17'!J11</f>
        <v>0</v>
      </c>
      <c r="H17" s="176"/>
      <c r="I17" s="29"/>
      <c r="J17" s="29">
        <f>C16-SUM(J18:J33)</f>
        <v>0</v>
      </c>
    </row>
    <row r="18" spans="1:10" x14ac:dyDescent="0.2">
      <c r="A18" s="179">
        <v>30</v>
      </c>
      <c r="B18" s="180">
        <v>10</v>
      </c>
      <c r="C18" s="28">
        <f t="shared" ref="C18:C33" si="1">C17</f>
        <v>0.10589999999999999</v>
      </c>
      <c r="D18" s="28"/>
      <c r="E18" s="180">
        <v>30</v>
      </c>
      <c r="F18" s="180">
        <v>3</v>
      </c>
      <c r="G18" s="181">
        <f>+'West Texas FY17'!J12</f>
        <v>0.19745003531606078</v>
      </c>
      <c r="H18" s="176"/>
      <c r="I18" s="29"/>
      <c r="J18" s="29">
        <f>ROUND(+C18*G18,8)</f>
        <v>2.0909959999999998E-2</v>
      </c>
    </row>
    <row r="19" spans="1:10" x14ac:dyDescent="0.2">
      <c r="A19" s="179">
        <v>30</v>
      </c>
      <c r="B19" s="180">
        <v>10</v>
      </c>
      <c r="C19" s="28">
        <f t="shared" si="1"/>
        <v>0.10589999999999999</v>
      </c>
      <c r="D19" s="28"/>
      <c r="E19" s="180">
        <v>30</v>
      </c>
      <c r="F19" s="180">
        <v>4</v>
      </c>
      <c r="G19" s="181">
        <f>+'West Texas FY17'!J13</f>
        <v>1.7949136277774552E-3</v>
      </c>
      <c r="H19" s="176"/>
      <c r="I19" s="29"/>
      <c r="J19" s="29">
        <f>ROUND(+C19*G19,8)</f>
        <v>1.9008E-4</v>
      </c>
    </row>
    <row r="20" spans="1:10" x14ac:dyDescent="0.2">
      <c r="A20" s="179">
        <v>30</v>
      </c>
      <c r="B20" s="180">
        <v>10</v>
      </c>
      <c r="C20" s="28">
        <f t="shared" si="1"/>
        <v>0.10589999999999999</v>
      </c>
      <c r="D20" s="28"/>
      <c r="E20" s="180">
        <v>30</v>
      </c>
      <c r="F20" s="180">
        <v>5</v>
      </c>
      <c r="G20" s="181">
        <f>+'West Texas FY17'!J14</f>
        <v>0.46028973370058185</v>
      </c>
      <c r="H20" s="176"/>
      <c r="I20" s="29"/>
      <c r="J20" s="29">
        <f>ROUND(+C20*G20,8)+0.00000001</f>
        <v>4.874469E-2</v>
      </c>
    </row>
    <row r="21" spans="1:10" x14ac:dyDescent="0.2">
      <c r="A21" s="179">
        <v>30</v>
      </c>
      <c r="B21" s="180">
        <v>10</v>
      </c>
      <c r="C21" s="28">
        <f t="shared" si="1"/>
        <v>0.10589999999999999</v>
      </c>
      <c r="D21" s="28"/>
      <c r="E21" s="180">
        <v>30</v>
      </c>
      <c r="F21" s="180">
        <v>6</v>
      </c>
      <c r="G21" s="181">
        <f>+'West Texas FY17'!J15</f>
        <v>6.9360197631655697E-3</v>
      </c>
      <c r="H21" s="176"/>
      <c r="I21" s="29"/>
      <c r="J21" s="29">
        <f t="shared" ref="J21:J33" si="2">ROUND(+C21*G21,8)</f>
        <v>7.3452000000000001E-4</v>
      </c>
    </row>
    <row r="22" spans="1:10" x14ac:dyDescent="0.2">
      <c r="A22" s="179">
        <v>30</v>
      </c>
      <c r="B22" s="180">
        <v>10</v>
      </c>
      <c r="C22" s="28">
        <f t="shared" si="1"/>
        <v>0.10589999999999999</v>
      </c>
      <c r="D22" s="28"/>
      <c r="E22" s="180">
        <v>30</v>
      </c>
      <c r="F22" s="180">
        <v>8</v>
      </c>
      <c r="G22" s="181">
        <f>+'West Texas FY17'!J16</f>
        <v>1.2429506850266279E-3</v>
      </c>
      <c r="H22" s="176"/>
      <c r="I22" s="29"/>
      <c r="J22" s="29">
        <f t="shared" si="2"/>
        <v>1.3163000000000001E-4</v>
      </c>
    </row>
    <row r="23" spans="1:10" x14ac:dyDescent="0.2">
      <c r="A23" s="179">
        <v>30</v>
      </c>
      <c r="B23" s="180">
        <v>10</v>
      </c>
      <c r="C23" s="28">
        <f t="shared" si="1"/>
        <v>0.10589999999999999</v>
      </c>
      <c r="D23" s="28"/>
      <c r="E23" s="180">
        <v>30</v>
      </c>
      <c r="F23" s="180">
        <v>11</v>
      </c>
      <c r="G23" s="181">
        <f>+'West Texas FY17'!J17</f>
        <v>0</v>
      </c>
      <c r="H23" s="176"/>
      <c r="I23" s="29"/>
      <c r="J23" s="29">
        <f t="shared" si="2"/>
        <v>0</v>
      </c>
    </row>
    <row r="24" spans="1:10" x14ac:dyDescent="0.2">
      <c r="A24" s="179">
        <v>30</v>
      </c>
      <c r="B24" s="180">
        <v>10</v>
      </c>
      <c r="C24" s="28">
        <f t="shared" si="1"/>
        <v>0.10589999999999999</v>
      </c>
      <c r="D24" s="28"/>
      <c r="E24" s="180">
        <v>30</v>
      </c>
      <c r="F24" s="180">
        <v>13</v>
      </c>
      <c r="G24" s="181">
        <f>+'West Texas FY17'!J18</f>
        <v>1.2249722589125904E-2</v>
      </c>
      <c r="H24" s="176"/>
      <c r="I24" s="29"/>
      <c r="J24" s="29">
        <f t="shared" si="2"/>
        <v>1.29725E-3</v>
      </c>
    </row>
    <row r="25" spans="1:10" x14ac:dyDescent="0.2">
      <c r="A25" s="179">
        <v>30</v>
      </c>
      <c r="B25" s="180">
        <v>10</v>
      </c>
      <c r="C25" s="28">
        <f t="shared" si="1"/>
        <v>0.10589999999999999</v>
      </c>
      <c r="D25" s="28"/>
      <c r="E25" s="180">
        <v>30</v>
      </c>
      <c r="F25" s="180">
        <v>14</v>
      </c>
      <c r="G25" s="181">
        <f>+'West Texas FY17'!J19</f>
        <v>0</v>
      </c>
      <c r="H25" s="176"/>
      <c r="I25" s="29"/>
      <c r="J25" s="29">
        <f t="shared" si="2"/>
        <v>0</v>
      </c>
    </row>
    <row r="26" spans="1:10" x14ac:dyDescent="0.2">
      <c r="A26" s="179">
        <v>30</v>
      </c>
      <c r="B26" s="180">
        <v>10</v>
      </c>
      <c r="C26" s="28">
        <f t="shared" si="1"/>
        <v>0.10589999999999999</v>
      </c>
      <c r="D26" s="28"/>
      <c r="E26" s="180">
        <v>30</v>
      </c>
      <c r="F26" s="180">
        <v>15</v>
      </c>
      <c r="G26" s="181">
        <f>+'West Texas FY17'!J20</f>
        <v>0</v>
      </c>
      <c r="H26" s="176"/>
      <c r="I26" s="29"/>
      <c r="J26" s="29">
        <f t="shared" si="2"/>
        <v>0</v>
      </c>
    </row>
    <row r="27" spans="1:10" x14ac:dyDescent="0.2">
      <c r="A27" s="179">
        <v>30</v>
      </c>
      <c r="B27" s="180">
        <v>10</v>
      </c>
      <c r="C27" s="28">
        <f t="shared" si="1"/>
        <v>0.10589999999999999</v>
      </c>
      <c r="D27" s="28"/>
      <c r="E27" s="180">
        <v>30</v>
      </c>
      <c r="F27" s="180">
        <v>16</v>
      </c>
      <c r="G27" s="181">
        <f>+'West Texas FY17'!J21</f>
        <v>0.20157775239169443</v>
      </c>
      <c r="H27" s="176"/>
      <c r="I27" s="29"/>
      <c r="J27" s="29">
        <f t="shared" si="2"/>
        <v>2.1347080000000001E-2</v>
      </c>
    </row>
    <row r="28" spans="1:10" x14ac:dyDescent="0.2">
      <c r="A28" s="179">
        <v>30</v>
      </c>
      <c r="B28" s="180">
        <v>10</v>
      </c>
      <c r="C28" s="28">
        <f t="shared" si="1"/>
        <v>0.10589999999999999</v>
      </c>
      <c r="D28" s="28"/>
      <c r="E28" s="180">
        <v>30</v>
      </c>
      <c r="F28" s="180">
        <v>17</v>
      </c>
      <c r="G28" s="181">
        <f>+'West Texas FY17'!J22</f>
        <v>2.2212814837606836E-5</v>
      </c>
      <c r="H28" s="176"/>
      <c r="I28" s="29"/>
      <c r="J28" s="29">
        <f t="shared" si="2"/>
        <v>2.3499999999999999E-6</v>
      </c>
    </row>
    <row r="29" spans="1:10" x14ac:dyDescent="0.2">
      <c r="A29" s="179">
        <v>30</v>
      </c>
      <c r="B29" s="180">
        <v>10</v>
      </c>
      <c r="C29" s="28">
        <f t="shared" si="1"/>
        <v>0.10589999999999999</v>
      </c>
      <c r="D29" s="28"/>
      <c r="E29" s="180">
        <v>30</v>
      </c>
      <c r="F29" s="180">
        <v>18</v>
      </c>
      <c r="G29" s="181">
        <f>+'West Texas FY17'!J23</f>
        <v>4.1649431392051404E-4</v>
      </c>
      <c r="H29" s="176"/>
      <c r="I29" s="29"/>
      <c r="J29" s="29">
        <f t="shared" si="2"/>
        <v>4.4110000000000003E-5</v>
      </c>
    </row>
    <row r="30" spans="1:10" x14ac:dyDescent="0.2">
      <c r="A30" s="179">
        <v>30</v>
      </c>
      <c r="B30" s="180">
        <v>10</v>
      </c>
      <c r="C30" s="28">
        <f t="shared" si="1"/>
        <v>0.10589999999999999</v>
      </c>
      <c r="D30" s="28"/>
      <c r="E30" s="180">
        <v>30</v>
      </c>
      <c r="F30" s="180">
        <v>19</v>
      </c>
      <c r="G30" s="181">
        <f>+'West Texas FY17'!J24</f>
        <v>4.4600952606628975E-2</v>
      </c>
      <c r="H30" s="185"/>
      <c r="I30" s="29"/>
      <c r="J30" s="29">
        <f t="shared" si="2"/>
        <v>4.7232400000000001E-3</v>
      </c>
    </row>
    <row r="31" spans="1:10" x14ac:dyDescent="0.2">
      <c r="A31" s="179">
        <v>30</v>
      </c>
      <c r="B31" s="180">
        <v>10</v>
      </c>
      <c r="C31" s="28">
        <f t="shared" si="1"/>
        <v>0.10589999999999999</v>
      </c>
      <c r="D31" s="28"/>
      <c r="E31" s="180">
        <v>30</v>
      </c>
      <c r="F31" s="180">
        <v>20</v>
      </c>
      <c r="G31" s="181">
        <f>+'West Texas FY17'!J25</f>
        <v>1.2116442641368233E-2</v>
      </c>
      <c r="H31" s="185"/>
      <c r="I31" s="29"/>
      <c r="J31" s="29">
        <f t="shared" si="2"/>
        <v>1.2831299999999999E-3</v>
      </c>
    </row>
    <row r="32" spans="1:10" x14ac:dyDescent="0.2">
      <c r="A32" s="179">
        <v>30</v>
      </c>
      <c r="B32" s="180">
        <v>10</v>
      </c>
      <c r="C32" s="28">
        <f t="shared" si="1"/>
        <v>0.10589999999999999</v>
      </c>
      <c r="D32" s="28"/>
      <c r="E32" s="180">
        <v>30</v>
      </c>
      <c r="F32" s="180">
        <v>21</v>
      </c>
      <c r="G32" s="181">
        <f>+'West Texas FY17'!J26</f>
        <v>6.130276954981214E-2</v>
      </c>
      <c r="H32" s="176"/>
      <c r="I32" s="29"/>
      <c r="J32" s="29">
        <f t="shared" si="2"/>
        <v>6.4919599999999997E-3</v>
      </c>
    </row>
    <row r="33" spans="1:10" x14ac:dyDescent="0.2">
      <c r="A33" s="182">
        <v>30</v>
      </c>
      <c r="B33" s="183">
        <v>10</v>
      </c>
      <c r="C33" s="30">
        <f t="shared" si="1"/>
        <v>0.10589999999999999</v>
      </c>
      <c r="D33" s="30"/>
      <c r="E33" s="183">
        <v>30</v>
      </c>
      <c r="F33" s="183">
        <v>40</v>
      </c>
      <c r="G33" s="184">
        <f>+'West Texas FY17'!J27</f>
        <v>0</v>
      </c>
      <c r="H33" s="176"/>
      <c r="I33" s="29"/>
      <c r="J33" s="29">
        <f t="shared" si="2"/>
        <v>0</v>
      </c>
    </row>
    <row r="34" spans="1:10" x14ac:dyDescent="0.2">
      <c r="A34" s="180"/>
      <c r="B34" s="180"/>
      <c r="C34" s="28"/>
      <c r="D34" s="28"/>
      <c r="E34" s="180"/>
      <c r="F34" s="180"/>
      <c r="G34" s="176"/>
      <c r="H34" s="176"/>
      <c r="I34" s="29"/>
      <c r="J34" s="29"/>
    </row>
    <row r="35" spans="1:10" x14ac:dyDescent="0.2">
      <c r="A35" s="177">
        <v>50</v>
      </c>
      <c r="B35" s="31">
        <v>91</v>
      </c>
      <c r="C35" s="27">
        <f>'Composite FY17'!Q243</f>
        <v>0.12809999999999999</v>
      </c>
      <c r="D35" s="27"/>
      <c r="E35" s="186"/>
      <c r="F35" s="186"/>
      <c r="G35" s="178"/>
      <c r="H35" s="114"/>
      <c r="I35" s="29"/>
      <c r="J35" s="29"/>
    </row>
    <row r="36" spans="1:10" x14ac:dyDescent="0.2">
      <c r="A36" s="179">
        <v>50</v>
      </c>
      <c r="B36" s="180">
        <v>91</v>
      </c>
      <c r="C36" s="28">
        <f>C35</f>
        <v>0.12809999999999999</v>
      </c>
      <c r="D36" s="28"/>
      <c r="E36" s="114"/>
      <c r="F36" s="114"/>
      <c r="G36" s="181"/>
      <c r="H36" s="114"/>
      <c r="I36" s="29"/>
      <c r="J36" s="29"/>
    </row>
    <row r="37" spans="1:10" x14ac:dyDescent="0.2">
      <c r="A37" s="179">
        <v>50</v>
      </c>
      <c r="B37" s="180">
        <v>91</v>
      </c>
      <c r="C37" s="28">
        <f>C36</f>
        <v>0.12809999999999999</v>
      </c>
      <c r="D37" s="28"/>
      <c r="E37" s="180">
        <v>50</v>
      </c>
      <c r="F37" s="180">
        <v>91</v>
      </c>
      <c r="G37" s="181">
        <v>-1</v>
      </c>
      <c r="H37" s="176"/>
      <c r="I37" s="29"/>
      <c r="J37" s="29"/>
    </row>
    <row r="38" spans="1:10" x14ac:dyDescent="0.2">
      <c r="A38" s="179">
        <v>50</v>
      </c>
      <c r="B38" s="180">
        <v>91</v>
      </c>
      <c r="C38" s="28">
        <f t="shared" ref="C38:C40" si="3">C37</f>
        <v>0.12809999999999999</v>
      </c>
      <c r="D38" s="28"/>
      <c r="E38" s="180">
        <v>50</v>
      </c>
      <c r="F38" s="180">
        <v>9</v>
      </c>
      <c r="G38" s="181">
        <f>'Mid States FY17'!J10/100</f>
        <v>0.5025136071712456</v>
      </c>
      <c r="H38" s="176"/>
      <c r="I38" s="29"/>
      <c r="J38" s="29">
        <f>C38-SUM(J39:J40)</f>
        <v>6.437198999999999E-2</v>
      </c>
    </row>
    <row r="39" spans="1:10" x14ac:dyDescent="0.2">
      <c r="A39" s="179">
        <v>50</v>
      </c>
      <c r="B39" s="180">
        <v>91</v>
      </c>
      <c r="C39" s="28">
        <f t="shared" si="3"/>
        <v>0.12809999999999999</v>
      </c>
      <c r="D39" s="28"/>
      <c r="E39" s="180">
        <v>50</v>
      </c>
      <c r="F39" s="180">
        <v>93</v>
      </c>
      <c r="G39" s="181">
        <f>'Mid States FY17'!J11/100</f>
        <v>0.41877487553916831</v>
      </c>
      <c r="H39" s="176"/>
      <c r="I39" s="29"/>
      <c r="J39" s="29">
        <f>ROUND(+C39*G39,8)</f>
        <v>5.3645060000000001E-2</v>
      </c>
    </row>
    <row r="40" spans="1:10" x14ac:dyDescent="0.2">
      <c r="A40" s="179">
        <v>50</v>
      </c>
      <c r="B40" s="180">
        <v>91</v>
      </c>
      <c r="C40" s="28">
        <f t="shared" si="3"/>
        <v>0.12809999999999999</v>
      </c>
      <c r="D40" s="28"/>
      <c r="E40" s="180">
        <v>50</v>
      </c>
      <c r="F40" s="180">
        <v>96</v>
      </c>
      <c r="G40" s="181">
        <f>'Mid States FY17'!J12/100</f>
        <v>7.8711517289586197E-2</v>
      </c>
      <c r="H40" s="176"/>
      <c r="I40" s="29"/>
      <c r="J40" s="29">
        <f t="shared" ref="J40" si="4">ROUND(+C40*G40,8)</f>
        <v>1.008295E-2</v>
      </c>
    </row>
    <row r="41" spans="1:10" x14ac:dyDescent="0.2">
      <c r="A41" s="155"/>
      <c r="B41" s="155"/>
      <c r="E41" s="155"/>
      <c r="F41" s="155"/>
      <c r="H41" s="106"/>
      <c r="I41" s="23"/>
      <c r="J41" s="23"/>
    </row>
    <row r="42" spans="1:10" x14ac:dyDescent="0.2">
      <c r="A42" s="177">
        <v>60</v>
      </c>
      <c r="B42" s="31">
        <v>30</v>
      </c>
      <c r="C42" s="27">
        <f>'Composite FY17'!K243</f>
        <v>7.7299999999999994E-2</v>
      </c>
      <c r="D42" s="27"/>
      <c r="E42" s="31">
        <v>60</v>
      </c>
      <c r="F42" s="31">
        <v>30</v>
      </c>
      <c r="G42" s="178">
        <v>-1</v>
      </c>
      <c r="H42" s="176"/>
      <c r="I42" s="23"/>
      <c r="J42" s="23"/>
    </row>
    <row r="43" spans="1:10" x14ac:dyDescent="0.2">
      <c r="A43" s="179">
        <v>60</v>
      </c>
      <c r="B43" s="180">
        <v>30</v>
      </c>
      <c r="C43" s="28">
        <f>C42</f>
        <v>7.7299999999999994E-2</v>
      </c>
      <c r="D43" s="28"/>
      <c r="E43" s="180">
        <v>60</v>
      </c>
      <c r="F43" s="180">
        <v>31</v>
      </c>
      <c r="G43" s="181">
        <f>'CO KS FY17'!J11</f>
        <v>0.42507478688755618</v>
      </c>
      <c r="H43" s="176"/>
      <c r="I43" s="29"/>
      <c r="J43" s="29">
        <f>ROUND(+C43*G43,8)</f>
        <v>3.2858279999999997E-2</v>
      </c>
    </row>
    <row r="44" spans="1:10" x14ac:dyDescent="0.2">
      <c r="A44" s="182">
        <v>60</v>
      </c>
      <c r="B44" s="183">
        <v>30</v>
      </c>
      <c r="C44" s="30">
        <f>C43</f>
        <v>7.7299999999999994E-2</v>
      </c>
      <c r="D44" s="30"/>
      <c r="E44" s="183">
        <v>60</v>
      </c>
      <c r="F44" s="183">
        <v>81</v>
      </c>
      <c r="G44" s="184">
        <f>'CO KS FY17'!J12</f>
        <v>0.57492521311244393</v>
      </c>
      <c r="H44" s="176"/>
      <c r="I44" s="29"/>
      <c r="J44" s="29">
        <f>C42-SUM(J43:J43)</f>
        <v>4.4441719999999997E-2</v>
      </c>
    </row>
    <row r="45" spans="1:10" x14ac:dyDescent="0.2">
      <c r="A45" s="155"/>
      <c r="B45" s="155"/>
      <c r="E45" s="155"/>
      <c r="F45" s="155"/>
      <c r="H45" s="106"/>
      <c r="I45" s="23"/>
      <c r="J45" s="23"/>
    </row>
    <row r="46" spans="1:10" x14ac:dyDescent="0.2">
      <c r="A46" s="173">
        <v>70</v>
      </c>
      <c r="B46" s="174">
        <v>170</v>
      </c>
      <c r="C46" s="27">
        <f>'Composite FY17'!S243</f>
        <v>8.8200000000000001E-2</v>
      </c>
      <c r="D46" s="32"/>
      <c r="E46" s="174"/>
      <c r="F46" s="174">
        <v>170</v>
      </c>
      <c r="G46" s="175"/>
      <c r="H46" s="176"/>
      <c r="I46" s="29"/>
      <c r="J46" s="29">
        <f>ROUND(+C46,8)</f>
        <v>8.8200000000000001E-2</v>
      </c>
    </row>
    <row r="47" spans="1:10" x14ac:dyDescent="0.2">
      <c r="A47" s="155"/>
      <c r="B47" s="155"/>
      <c r="E47" s="155"/>
      <c r="F47" s="155"/>
      <c r="H47" s="106"/>
      <c r="I47" s="23"/>
      <c r="J47" s="23"/>
    </row>
    <row r="48" spans="1:10" x14ac:dyDescent="0.2">
      <c r="A48" s="173">
        <v>80</v>
      </c>
      <c r="B48" s="174">
        <v>190</v>
      </c>
      <c r="C48" s="27">
        <f>'Composite FY17'!U243</f>
        <v>0.48330000000000001</v>
      </c>
      <c r="D48" s="32"/>
      <c r="E48" s="174"/>
      <c r="F48" s="174">
        <v>190</v>
      </c>
      <c r="G48" s="175"/>
      <c r="H48" s="106"/>
      <c r="I48" s="29"/>
      <c r="J48" s="29">
        <f>ROUND(+C48,8)</f>
        <v>0.48330000000000001</v>
      </c>
    </row>
    <row r="49" spans="1:10" x14ac:dyDescent="0.2">
      <c r="A49" s="155"/>
      <c r="B49" s="155"/>
      <c r="E49" s="155"/>
      <c r="F49" s="155"/>
      <c r="H49" s="187"/>
      <c r="I49" s="23"/>
      <c r="J49" s="23"/>
    </row>
    <row r="50" spans="1:10" s="290" customFormat="1" x14ac:dyDescent="0.2">
      <c r="A50" s="284">
        <v>180</v>
      </c>
      <c r="B50" s="285">
        <v>700</v>
      </c>
      <c r="C50" s="286">
        <f>'Composite FY17'!W243</f>
        <v>0</v>
      </c>
      <c r="D50" s="286"/>
      <c r="E50" s="285"/>
      <c r="F50" s="285">
        <v>700</v>
      </c>
      <c r="G50" s="287"/>
      <c r="H50" s="288"/>
      <c r="I50" s="289"/>
      <c r="J50" s="289">
        <f>ROUND(+C50,8)</f>
        <v>0</v>
      </c>
    </row>
    <row r="51" spans="1:10" x14ac:dyDescent="0.2">
      <c r="A51" s="155"/>
      <c r="B51" s="155"/>
      <c r="E51" s="155"/>
      <c r="F51" s="155"/>
    </row>
    <row r="52" spans="1:10" x14ac:dyDescent="0.2">
      <c r="A52" s="173">
        <v>212</v>
      </c>
      <c r="B52" s="174">
        <v>821</v>
      </c>
      <c r="C52" s="27">
        <f>'Composite FY17'!Y243</f>
        <v>0</v>
      </c>
      <c r="D52" s="32"/>
      <c r="E52" s="174"/>
      <c r="F52" s="174">
        <v>821</v>
      </c>
      <c r="G52" s="175"/>
      <c r="J52" s="29">
        <f>ROUND(+C52,8)</f>
        <v>0</v>
      </c>
    </row>
    <row r="53" spans="1:10" x14ac:dyDescent="0.2">
      <c r="A53" s="155"/>
      <c r="B53" s="155"/>
      <c r="E53" s="155"/>
      <c r="F53" s="155"/>
    </row>
    <row r="54" spans="1:10" x14ac:dyDescent="0.2">
      <c r="A54" s="173">
        <v>232</v>
      </c>
      <c r="B54" s="174">
        <v>800</v>
      </c>
      <c r="C54" s="27">
        <f>'Composite FY17'!AA243</f>
        <v>6.9999999999999999E-4</v>
      </c>
      <c r="D54" s="32"/>
      <c r="E54" s="174"/>
      <c r="F54" s="174">
        <v>800</v>
      </c>
      <c r="G54" s="175"/>
      <c r="J54" s="29">
        <f>ROUND(+C54,8)</f>
        <v>6.9999999999999999E-4</v>
      </c>
    </row>
    <row r="55" spans="1:10" x14ac:dyDescent="0.2">
      <c r="A55" s="155"/>
      <c r="B55" s="155"/>
      <c r="E55" s="155"/>
      <c r="F55" s="155"/>
    </row>
    <row r="56" spans="1:10" x14ac:dyDescent="0.2">
      <c r="A56" s="173">
        <v>233</v>
      </c>
      <c r="B56" s="174">
        <v>817</v>
      </c>
      <c r="C56" s="27">
        <f>'Composite FY17'!AG243</f>
        <v>5.9999999999999995E-4</v>
      </c>
      <c r="D56" s="32"/>
      <c r="E56" s="174"/>
      <c r="F56" s="174">
        <v>817</v>
      </c>
      <c r="G56" s="175"/>
      <c r="J56" s="29">
        <f>ROUND(+C56,8)</f>
        <v>5.9999999999999995E-4</v>
      </c>
    </row>
    <row r="57" spans="1:10" x14ac:dyDescent="0.2">
      <c r="A57" s="155"/>
      <c r="B57" s="155"/>
      <c r="E57" s="155"/>
      <c r="F57" s="155"/>
    </row>
    <row r="58" spans="1:10" x14ac:dyDescent="0.2">
      <c r="A58" s="173">
        <v>303</v>
      </c>
      <c r="B58" s="174">
        <v>57</v>
      </c>
      <c r="C58" s="27">
        <f>'Composite FY17'!AE243</f>
        <v>2.5000000000000001E-3</v>
      </c>
      <c r="D58" s="32"/>
      <c r="E58" s="174"/>
      <c r="F58" s="174">
        <v>57</v>
      </c>
      <c r="G58" s="175"/>
      <c r="J58" s="29">
        <f>ROUND(+C58,8)</f>
        <v>2.5000000000000001E-3</v>
      </c>
    </row>
    <row r="59" spans="1:10" x14ac:dyDescent="0.2">
      <c r="A59" s="180"/>
      <c r="B59" s="180"/>
      <c r="C59" s="28"/>
      <c r="D59" s="28"/>
      <c r="E59" s="180"/>
      <c r="F59" s="180"/>
      <c r="G59" s="176"/>
      <c r="J59" s="29"/>
    </row>
    <row r="60" spans="1:10" x14ac:dyDescent="0.2">
      <c r="A60" s="173">
        <v>234</v>
      </c>
      <c r="B60" s="174">
        <v>822</v>
      </c>
      <c r="C60" s="27">
        <f>'Composite FY17'!AC243</f>
        <v>8.0000000000000004E-4</v>
      </c>
      <c r="D60" s="32"/>
      <c r="E60" s="174"/>
      <c r="F60" s="174">
        <v>822</v>
      </c>
      <c r="G60" s="175"/>
      <c r="J60" s="29">
        <f>1-SUM(J13:J58)+J50</f>
        <v>7.9999999999991189E-4</v>
      </c>
    </row>
    <row r="61" spans="1:10" x14ac:dyDescent="0.2">
      <c r="B61" s="155"/>
      <c r="E61" s="155"/>
      <c r="F61" s="155"/>
    </row>
    <row r="62" spans="1:10" x14ac:dyDescent="0.2">
      <c r="A62" s="44"/>
      <c r="B62" s="155"/>
      <c r="E62" s="155"/>
      <c r="F62" s="155"/>
      <c r="I62" s="33"/>
      <c r="J62" s="33"/>
    </row>
    <row r="63" spans="1:10" x14ac:dyDescent="0.2">
      <c r="A63" s="44" t="s">
        <v>1</v>
      </c>
      <c r="B63" s="155"/>
      <c r="C63" s="377">
        <f>C60+C58+C56+C54+C52+C48+C46+C44+C40+C33+C14</f>
        <v>1</v>
      </c>
      <c r="E63" s="155"/>
      <c r="F63" s="155"/>
    </row>
    <row r="64" spans="1:10" x14ac:dyDescent="0.2">
      <c r="B64" s="155"/>
      <c r="E64" s="155"/>
      <c r="F64" s="155"/>
    </row>
    <row r="65" spans="2:6" x14ac:dyDescent="0.2">
      <c r="B65" s="155"/>
      <c r="E65" s="155"/>
      <c r="F65" s="155"/>
    </row>
  </sheetData>
  <printOptions horizontalCentered="1"/>
  <pageMargins left="0.25" right="0.25" top="0.25" bottom="0.75" header="0.3" footer="0.3"/>
  <pageSetup scale="67" orientation="landscape" horizontalDpi="4294967294" verticalDpi="4294967294" r:id="rId1"/>
  <headerFooter alignWithMargins="0">
    <oddFooter>&amp;C&amp;Z&amp;F
&amp;A</oddFooter>
  </headerFooter>
  <rowBreaks count="1" manualBreakCount="1">
    <brk id="6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4</vt:i4>
      </vt:variant>
    </vt:vector>
  </HeadingPairs>
  <TitlesOfParts>
    <vt:vector size="24" baseType="lpstr">
      <vt:lpstr>Version history</vt:lpstr>
      <vt:lpstr>Composite FY17</vt:lpstr>
      <vt:lpstr>Check current to prior</vt:lpstr>
      <vt:lpstr>Mid States FY17</vt:lpstr>
      <vt:lpstr>CO KS FY17</vt:lpstr>
      <vt:lpstr>COdiv 2017</vt:lpstr>
      <vt:lpstr>West Texas FY17</vt:lpstr>
      <vt:lpstr>Div 002 Rates</vt:lpstr>
      <vt:lpstr>Div 002 Rates (Excluding APT)</vt:lpstr>
      <vt:lpstr>Div 012 Rates</vt:lpstr>
      <vt:lpstr>Sum customer count</vt:lpstr>
      <vt:lpstr>Summary WTX</vt:lpstr>
      <vt:lpstr>Summary CO-KS</vt:lpstr>
      <vt:lpstr>Summary LA</vt:lpstr>
      <vt:lpstr>Summary Kentucky-Midstates</vt:lpstr>
      <vt:lpstr>Summary MS</vt:lpstr>
      <vt:lpstr>Summary Mid Tex</vt:lpstr>
      <vt:lpstr>Summary AtmosPipeline</vt:lpstr>
      <vt:lpstr>Houston</vt:lpstr>
      <vt:lpstr>TLGP</vt:lpstr>
      <vt:lpstr>'Check current to prior'!Print_Area</vt:lpstr>
      <vt:lpstr>'Composite FY17'!Print_Area</vt:lpstr>
      <vt:lpstr>'Check current to prior'!Print_Titles</vt:lpstr>
      <vt:lpstr>'Composite FY17'!Print_Titles</vt:lpstr>
    </vt:vector>
  </TitlesOfParts>
  <Company>Atmos Energy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Jacob</dc:creator>
  <cp:lastModifiedBy>Brannon C Taylor</cp:lastModifiedBy>
  <cp:lastPrinted>2017-01-06T15:01:33Z</cp:lastPrinted>
  <dcterms:created xsi:type="dcterms:W3CDTF">1997-01-25T15:57:40Z</dcterms:created>
  <dcterms:modified xsi:type="dcterms:W3CDTF">2017-01-18T19:51:47Z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ies>
</file>