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7-00349 (2017 Kentucky Rate Case)\MFR Attachments\"/>
    </mc:Choice>
  </mc:AlternateContent>
  <bookViews>
    <workbookView xWindow="0" yWindow="0" windowWidth="28800" windowHeight="12435"/>
  </bookViews>
  <sheets>
    <sheet name="J-1 Base" sheetId="1" r:id="rId1"/>
    <sheet name="J-2 B" sheetId="2" r:id="rId2"/>
    <sheet name="J-3 B" sheetId="3" r:id="rId3"/>
    <sheet name="J-4" sheetId="4" r:id="rId4"/>
    <sheet name="J.1" sheetId="5" r:id="rId5"/>
    <sheet name="J-1 F" sheetId="6" r:id="rId6"/>
    <sheet name="J-2 F" sheetId="7" r:id="rId7"/>
    <sheet name="J-3 F" sheetId="8" r:id="rId8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4">J.1!$A$1:$V$54</definedName>
    <definedName name="_xlnm.Print_Area" localSheetId="0">'J-1 Base'!$A$1:$M$27</definedName>
    <definedName name="_xlnm.Print_Area" localSheetId="5">'J-1 F'!$A$1:$M$28</definedName>
    <definedName name="_xlnm.Print_Area" localSheetId="1">'J-2 B'!$A$1:$L$29</definedName>
    <definedName name="_xlnm.Print_Area" localSheetId="6">'J-2 F'!$A$1:$L$28</definedName>
    <definedName name="_xlnm.Print_Area" localSheetId="2">'J-3 B'!$A$1:$K$34</definedName>
    <definedName name="_xlnm.Print_Area" localSheetId="7">'J-3 F'!$A$1:$K$34</definedName>
    <definedName name="_xlnm.Print_Area" localSheetId="3">'J-4'!$A$1:$S$16</definedName>
    <definedName name="ROR">#REF!</definedName>
    <definedName name="stdrat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8" l="1"/>
  <c r="I25" i="8"/>
  <c r="G24" i="8"/>
  <c r="E24" i="8"/>
  <c r="I24" i="8" s="1"/>
  <c r="G23" i="8"/>
  <c r="E23" i="8"/>
  <c r="I23" i="8" s="1"/>
  <c r="C23" i="8"/>
  <c r="G22" i="8"/>
  <c r="E22" i="8"/>
  <c r="I22" i="8" s="1"/>
  <c r="C22" i="8"/>
  <c r="I21" i="8"/>
  <c r="G21" i="8"/>
  <c r="E21" i="8"/>
  <c r="C21" i="8"/>
  <c r="I20" i="8"/>
  <c r="G20" i="8"/>
  <c r="E20" i="8"/>
  <c r="C20" i="8"/>
  <c r="G19" i="8"/>
  <c r="E19" i="8"/>
  <c r="I19" i="8" s="1"/>
  <c r="C19" i="8"/>
  <c r="G18" i="8"/>
  <c r="E18" i="8"/>
  <c r="I18" i="8" s="1"/>
  <c r="C18" i="8"/>
  <c r="I17" i="8"/>
  <c r="G17" i="8"/>
  <c r="E17" i="8"/>
  <c r="C17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I16" i="8"/>
  <c r="G16" i="8"/>
  <c r="E16" i="8"/>
  <c r="E26" i="8" s="1"/>
  <c r="E34" i="8" s="1"/>
  <c r="C16" i="8"/>
  <c r="K9" i="8"/>
  <c r="J18" i="7"/>
  <c r="H16" i="7"/>
  <c r="F16" i="7"/>
  <c r="J16" i="7" s="1"/>
  <c r="J20" i="7" s="1"/>
  <c r="L9" i="7"/>
  <c r="G26" i="6"/>
  <c r="G24" i="6"/>
  <c r="M9" i="6"/>
  <c r="P50" i="5"/>
  <c r="H50" i="5"/>
  <c r="T25" i="5"/>
  <c r="V10" i="5"/>
  <c r="S8" i="4"/>
  <c r="E34" i="3"/>
  <c r="G21" i="1" s="1"/>
  <c r="E26" i="3"/>
  <c r="I25" i="3"/>
  <c r="I24" i="3"/>
  <c r="I23" i="3"/>
  <c r="I22" i="3"/>
  <c r="I21" i="3"/>
  <c r="I20" i="3"/>
  <c r="I19" i="3"/>
  <c r="I18" i="3"/>
  <c r="I17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I16" i="3"/>
  <c r="I26" i="3" s="1"/>
  <c r="I34" i="3" s="1"/>
  <c r="K34" i="3" s="1"/>
  <c r="K8" i="3"/>
  <c r="J20" i="2"/>
  <c r="L20" i="2" s="1"/>
  <c r="F20" i="2"/>
  <c r="H17" i="5" s="1"/>
  <c r="J16" i="2"/>
  <c r="L9" i="2"/>
  <c r="A9" i="2"/>
  <c r="A8" i="2"/>
  <c r="A7" i="2"/>
  <c r="K25" i="1"/>
  <c r="G25" i="1"/>
  <c r="K23" i="1"/>
  <c r="G23" i="1"/>
  <c r="H19" i="5" l="1"/>
  <c r="P19" i="5"/>
  <c r="P44" i="5"/>
  <c r="H21" i="5"/>
  <c r="H29" i="5" s="1"/>
  <c r="J17" i="5"/>
  <c r="G19" i="1"/>
  <c r="I26" i="8"/>
  <c r="I34" i="8" s="1"/>
  <c r="K34" i="8" s="1"/>
  <c r="L44" i="5"/>
  <c r="L19" i="5"/>
  <c r="K21" i="1" s="1"/>
  <c r="L42" i="5"/>
  <c r="L17" i="5"/>
  <c r="K19" i="1" s="1"/>
  <c r="H42" i="5"/>
  <c r="F20" i="7"/>
  <c r="T44" i="5" l="1"/>
  <c r="K22" i="6"/>
  <c r="T19" i="5"/>
  <c r="N17" i="5"/>
  <c r="J21" i="5"/>
  <c r="J52" i="5"/>
  <c r="N52" i="5" s="1"/>
  <c r="J27" i="5"/>
  <c r="N27" i="5" s="1"/>
  <c r="R27" i="5"/>
  <c r="V27" i="5" s="1"/>
  <c r="J25" i="5"/>
  <c r="N25" i="5" s="1"/>
  <c r="J23" i="5"/>
  <c r="N23" i="5" s="1"/>
  <c r="H44" i="5"/>
  <c r="J19" i="5"/>
  <c r="N19" i="5" s="1"/>
  <c r="P17" i="5"/>
  <c r="P42" i="5"/>
  <c r="H46" i="5"/>
  <c r="H54" i="5" s="1"/>
  <c r="I19" i="1"/>
  <c r="G27" i="1"/>
  <c r="G22" i="6"/>
  <c r="L20" i="7"/>
  <c r="T42" i="5" l="1"/>
  <c r="K20" i="6"/>
  <c r="T17" i="5"/>
  <c r="M19" i="1"/>
  <c r="P46" i="5"/>
  <c r="P54" i="5" s="1"/>
  <c r="J48" i="5"/>
  <c r="N48" i="5" s="1"/>
  <c r="R52" i="5"/>
  <c r="V52" i="5" s="1"/>
  <c r="J50" i="5"/>
  <c r="P21" i="5"/>
  <c r="P29" i="5" s="1"/>
  <c r="R17" i="5"/>
  <c r="G20" i="6"/>
  <c r="J29" i="5"/>
  <c r="J42" i="5"/>
  <c r="N21" i="5"/>
  <c r="N29" i="5" s="1"/>
  <c r="I25" i="1"/>
  <c r="M25" i="1" s="1"/>
  <c r="I23" i="1"/>
  <c r="M23" i="1" s="1"/>
  <c r="I21" i="1"/>
  <c r="M21" i="1" s="1"/>
  <c r="J44" i="5"/>
  <c r="N44" i="5" s="1"/>
  <c r="V17" i="5" l="1"/>
  <c r="I27" i="1"/>
  <c r="R23" i="5"/>
  <c r="V23" i="5" s="1"/>
  <c r="R25" i="5"/>
  <c r="V25" i="5" s="1"/>
  <c r="R19" i="5"/>
  <c r="V19" i="5" s="1"/>
  <c r="R50" i="5"/>
  <c r="R48" i="5"/>
  <c r="V48" i="5" s="1"/>
  <c r="R44" i="5"/>
  <c r="V44" i="5" s="1"/>
  <c r="N42" i="5"/>
  <c r="N46" i="5" s="1"/>
  <c r="N50" i="5" s="1"/>
  <c r="L50" i="5" s="1"/>
  <c r="J46" i="5"/>
  <c r="J54" i="5" s="1"/>
  <c r="R42" i="5"/>
  <c r="G28" i="6"/>
  <c r="I20" i="6"/>
  <c r="M27" i="1"/>
  <c r="V21" i="5" l="1"/>
  <c r="V29" i="5" s="1"/>
  <c r="R46" i="5"/>
  <c r="R54" i="5" s="1"/>
  <c r="V42" i="5"/>
  <c r="V46" i="5" s="1"/>
  <c r="V50" i="5" s="1"/>
  <c r="T50" i="5" s="1"/>
  <c r="M20" i="6"/>
  <c r="M28" i="6" s="1"/>
  <c r="I26" i="6"/>
  <c r="M26" i="6" s="1"/>
  <c r="I24" i="6"/>
  <c r="M24" i="6" s="1"/>
  <c r="I22" i="6"/>
  <c r="M22" i="6" s="1"/>
  <c r="R21" i="5"/>
  <c r="R29" i="5" s="1"/>
  <c r="I28" i="6" l="1"/>
</calcChain>
</file>

<file path=xl/sharedStrings.xml><?xml version="1.0" encoding="utf-8"?>
<sst xmlns="http://schemas.openxmlformats.org/spreadsheetml/2006/main" count="366" uniqueCount="124">
  <si>
    <t>Cost of Capital Summary</t>
  </si>
  <si>
    <t>FR 16(8)(j)</t>
  </si>
  <si>
    <t>Data:__X___Base Period______Forecasted Period</t>
  </si>
  <si>
    <t>Schedule J-1</t>
  </si>
  <si>
    <t>Type of Filing:___X____Original________Updated ________Revised</t>
  </si>
  <si>
    <t>Sheet 1 of 1</t>
  </si>
  <si>
    <t>Workpaper Reference No(s).____________________</t>
  </si>
  <si>
    <t>Witness:  Christian</t>
  </si>
  <si>
    <t>Line</t>
  </si>
  <si>
    <t>Workpaper</t>
  </si>
  <si>
    <t>Percent</t>
  </si>
  <si>
    <t>Weighted</t>
  </si>
  <si>
    <t>No.</t>
  </si>
  <si>
    <t>Class of Capital</t>
  </si>
  <si>
    <t>Reference</t>
  </si>
  <si>
    <t>Amount</t>
  </si>
  <si>
    <t>of Total</t>
  </si>
  <si>
    <t>Cost Rate</t>
  </si>
  <si>
    <t>Cost</t>
  </si>
  <si>
    <t>(A)</t>
  </si>
  <si>
    <t>(B)</t>
  </si>
  <si>
    <t>(C)</t>
  </si>
  <si>
    <t>(D)</t>
  </si>
  <si>
    <t>(E)</t>
  </si>
  <si>
    <t>$000</t>
  </si>
  <si>
    <t>%</t>
  </si>
  <si>
    <t>Capital Structure</t>
  </si>
  <si>
    <t>SHORT-TERM DEBT</t>
  </si>
  <si>
    <t>J-3</t>
  </si>
  <si>
    <t>LONG-TERM DEBT</t>
  </si>
  <si>
    <t>PREFERRED STOCK</t>
  </si>
  <si>
    <t>J-4</t>
  </si>
  <si>
    <t>COMMON EQUITY</t>
  </si>
  <si>
    <t>Total Capital</t>
  </si>
  <si>
    <t>ANNUALIZED SHORT-TERM DEBT</t>
  </si>
  <si>
    <t>as of December 31, 2017</t>
  </si>
  <si>
    <t>Schedule J-2</t>
  </si>
  <si>
    <t>Effective</t>
  </si>
  <si>
    <t>Composite</t>
  </si>
  <si>
    <t>Interest</t>
  </si>
  <si>
    <t>Annual</t>
  </si>
  <si>
    <t>Issue</t>
  </si>
  <si>
    <t>Outstanding</t>
  </si>
  <si>
    <t>Rate</t>
  </si>
  <si>
    <t>(E=D/B)</t>
  </si>
  <si>
    <t>1</t>
  </si>
  <si>
    <t>AVERAGE SHORT-TERM DEBT</t>
  </si>
  <si>
    <t>COMMITMENT FEE &amp; BANK ADMIN</t>
  </si>
  <si>
    <t>TOTAL SHORT-TERM DEBT</t>
  </si>
  <si>
    <t>NOTES:</t>
  </si>
  <si>
    <t xml:space="preserve">   (1)  Interest Rate is the actual average rate for 12 Months Ended June 30, 2017</t>
  </si>
  <si>
    <t>AVERAGE ANNUALIZED LONG-TERM DEBT</t>
  </si>
  <si>
    <t>Schedule J-3</t>
  </si>
  <si>
    <t>13 Mth Avg.</t>
  </si>
  <si>
    <t>6.75% Debentures Unsecured due July 2028</t>
  </si>
  <si>
    <t>6.67% MTN A1 due Dec 2025</t>
  </si>
  <si>
    <t>5.95% Sr Note due 10/15/2034</t>
  </si>
  <si>
    <t>6.35% Sr Note due 6/15/2017</t>
  </si>
  <si>
    <t>Sr Note 5.50% Due 06/15/2041</t>
  </si>
  <si>
    <t>8.50% Sr Note due 3/15/2019</t>
  </si>
  <si>
    <t>4.15% Sr Note due 1/15/2043</t>
  </si>
  <si>
    <t>4.125% Sr Note due 10/15/2044</t>
  </si>
  <si>
    <t>3% Sr Note dues 6/15/2027</t>
  </si>
  <si>
    <t>$200MM 3YR Sr Credit Facility (Est. 9/22/16)</t>
  </si>
  <si>
    <t>Total</t>
  </si>
  <si>
    <t>Annualized Amortization of Debt Exp. &amp; Debt Dsct.</t>
  </si>
  <si>
    <t>Less Unamortized Debt Discount</t>
  </si>
  <si>
    <t>Less Unamortized Debt Expenses</t>
  </si>
  <si>
    <t>Total LONG-TERM DEBT</t>
  </si>
  <si>
    <t xml:space="preserve"> </t>
  </si>
  <si>
    <t>EMBEDDED Cost of PREFERRED STOCK</t>
  </si>
  <si>
    <t>Data:__X___Base Period__X___Forecasted Period</t>
  </si>
  <si>
    <t>Schedule J-4</t>
  </si>
  <si>
    <t>Type of Filing:___X____Original________Updated</t>
  </si>
  <si>
    <t>Premium</t>
  </si>
  <si>
    <t>Gain or Loss</t>
  </si>
  <si>
    <t>Dividend Rate,</t>
  </si>
  <si>
    <t>Date</t>
  </si>
  <si>
    <t>or</t>
  </si>
  <si>
    <t>on Reacquired</t>
  </si>
  <si>
    <t>Net</t>
  </si>
  <si>
    <t>Annualized</t>
  </si>
  <si>
    <t>TYPE, PAR Amount</t>
  </si>
  <si>
    <t>Issued</t>
  </si>
  <si>
    <t>Discount</t>
  </si>
  <si>
    <t>Expense</t>
  </si>
  <si>
    <t>Stock</t>
  </si>
  <si>
    <t>Proceeds</t>
  </si>
  <si>
    <t>At Issue</t>
  </si>
  <si>
    <t>Dividends</t>
  </si>
  <si>
    <t>(F=B+C-D+E)</t>
  </si>
  <si>
    <t>(G)</t>
  </si>
  <si>
    <t>(H=GXB)</t>
  </si>
  <si>
    <t>Atmos Energy Corporation has no PREFERRED STOCK OUTSTANDING at this time.</t>
  </si>
  <si>
    <t>13 Month Average Capital Structure</t>
  </si>
  <si>
    <t>Data:__X___Base Period___X___Forecasted Period</t>
  </si>
  <si>
    <t>PROPOSED RATES</t>
  </si>
  <si>
    <t>Base Period</t>
  </si>
  <si>
    <t>Forecasted Period</t>
  </si>
  <si>
    <t>(F)</t>
  </si>
  <si>
    <t>(H)</t>
  </si>
  <si>
    <t>(I)</t>
  </si>
  <si>
    <t>2</t>
  </si>
  <si>
    <t>3</t>
  </si>
  <si>
    <t>Total DEBT</t>
  </si>
  <si>
    <t>4</t>
  </si>
  <si>
    <t>5</t>
  </si>
  <si>
    <t>6</t>
  </si>
  <si>
    <t>Other Capital</t>
  </si>
  <si>
    <t>7</t>
  </si>
  <si>
    <t>CURRENT RATES</t>
  </si>
  <si>
    <t>Thirteen Month Average as of March 31, 2019</t>
  </si>
  <si>
    <t>Data:_____Base Period___X___Forecasted Period</t>
  </si>
  <si>
    <t>AVERAGE ANNUALIZED SHORT-TERM DEBT</t>
  </si>
  <si>
    <t>as of March 31, 2019</t>
  </si>
  <si>
    <t>AVERAGE SHORT-TERM DEBT (1)</t>
  </si>
  <si>
    <t>COMMITMENT FEE</t>
  </si>
  <si>
    <t xml:space="preserve">   (1)  Interest Rate is the actual average rate for 12 Months Ended June 30, 2017. </t>
  </si>
  <si>
    <t>13 Mth Average</t>
  </si>
  <si>
    <t>3% Sr Note due 6/15/2027</t>
  </si>
  <si>
    <t>Atmos Energy Corporation, Kentucky/Mid-States Division</t>
  </si>
  <si>
    <t>Kentucky Jurisdiction Case No. 2017-00349</t>
  </si>
  <si>
    <t>Base Period: Twelve Months Ended December 31, 2017</t>
  </si>
  <si>
    <t>Forecasted Test Period: Twelve Months Ended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</si>
</sst>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&quot;$&quot;* #,##0_);_(&quot;$&quot;* \(#,##0\);_(&quot;$&quot;* &quot;-&quot;??_);_(@_)"/>
    <numFmt numFmtId="166" formatCode="0.000%"/>
    <numFmt numFmtId="167" formatCode="hh:mm:ss_)"/>
    <numFmt numFmtId="168" formatCode="#,##0.000000_);\(#,##0.000000\)"/>
    <numFmt numFmtId="169" formatCode="0.0%"/>
    <numFmt numFmtId="170" formatCode="0.0000%"/>
    <numFmt numFmtId="171" formatCode="_(* #,##0_);_(* \(#,##0\);_(* &quot;-&quot;??_);_(@_)"/>
  </numFmts>
  <fonts count="15">
    <font>
      <sz val="12"/>
      <name val="Helvetica-Narrow"/>
      <family val="2"/>
    </font>
    <font>
      <sz val="12"/>
      <name val="Helvetica-Narrow"/>
      <family val="2"/>
    </font>
    <font>
      <sz val="12"/>
      <name val="Helvetica-Narrow"/>
    </font>
    <font>
      <u/>
      <sz val="12"/>
      <name val="Helvetica-Narrow"/>
      <family val="2"/>
    </font>
    <font>
      <b/>
      <u/>
      <sz val="12"/>
      <name val="Helvetica-Narrow"/>
    </font>
    <font>
      <sz val="12"/>
      <name val="Times New Roman"/>
      <family val="1"/>
    </font>
    <font>
      <u val="double"/>
      <sz val="12"/>
      <name val="Helvetica-Narrow"/>
      <family val="2"/>
    </font>
    <font>
      <sz val="12"/>
      <color indexed="12"/>
      <name val="Helvetica-Narrow"/>
    </font>
    <font>
      <sz val="12"/>
      <color rgb="FFFF0000"/>
      <name val="Helvetica-Narrow"/>
      <family val="2"/>
    </font>
    <font>
      <b/>
      <sz val="12"/>
      <color indexed="14"/>
      <name val="Helvetica-Narrow"/>
    </font>
    <font>
      <sz val="12"/>
      <color indexed="10"/>
      <name val="Helvetica-Narrow"/>
    </font>
    <font>
      <sz val="12"/>
      <name val="Arial MT"/>
    </font>
    <font>
      <b/>
      <sz val="12"/>
      <name val="Helvetica-Narrow"/>
    </font>
    <font>
      <b/>
      <sz val="12"/>
      <name val="Helvetica-Narrow"/>
      <family val="2"/>
    </font>
    <font>
      <sz val="12"/>
      <color rgb="FF0000FF"/>
      <name val="Helvetica-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37" fontId="0" fillId="0" borderId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3">
    <xf numFmtId="37" fontId="0" fillId="0" borderId="0" xfId="0"/>
    <xf numFmtId="37" fontId="1" fillId="0" borderId="0" xfId="0" applyFont="1"/>
    <xf numFmtId="37" fontId="1" fillId="0" borderId="0" xfId="0" applyFont="1" applyFill="1" applyAlignment="1">
      <alignment horizontal="center"/>
    </xf>
    <xf numFmtId="37" fontId="1" fillId="0" borderId="0" xfId="0" applyFont="1" applyAlignment="1" applyProtection="1">
      <alignment horizontal="left"/>
    </xf>
    <xf numFmtId="37" fontId="1" fillId="0" borderId="0" xfId="0" applyFont="1" applyAlignment="1" applyProtection="1">
      <alignment horizontal="right"/>
    </xf>
    <xf numFmtId="37" fontId="2" fillId="0" borderId="0" xfId="0" applyFont="1" applyAlignment="1" applyProtection="1">
      <alignment horizontal="left"/>
    </xf>
    <xf numFmtId="37" fontId="1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1" fillId="0" borderId="1" xfId="0" applyFont="1" applyBorder="1" applyAlignment="1" applyProtection="1">
      <alignment horizontal="right"/>
    </xf>
    <xf numFmtId="37" fontId="3" fillId="0" borderId="0" xfId="0" applyFont="1"/>
    <xf numFmtId="37" fontId="1" fillId="0" borderId="0" xfId="0" applyFont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0" xfId="0" applyNumberFormat="1" applyFont="1" applyProtection="1"/>
    <xf numFmtId="164" fontId="1" fillId="0" borderId="0" xfId="0" applyNumberFormat="1" applyFont="1" applyProtection="1"/>
    <xf numFmtId="37" fontId="4" fillId="0" borderId="0" xfId="0" applyFont="1" applyAlignment="1" applyProtection="1">
      <alignment horizontal="left"/>
    </xf>
    <xf numFmtId="10" fontId="1" fillId="0" borderId="0" xfId="0" applyNumberFormat="1" applyFont="1" applyProtection="1"/>
    <xf numFmtId="37" fontId="1" fillId="0" borderId="0" xfId="0" applyNumberFormat="1" applyFont="1" applyAlignment="1" applyProtection="1">
      <alignment horizontal="center"/>
    </xf>
    <xf numFmtId="165" fontId="1" fillId="0" borderId="0" xfId="2" applyNumberFormat="1" applyFont="1" applyProtection="1"/>
    <xf numFmtId="10" fontId="1" fillId="0" borderId="0" xfId="3" applyNumberFormat="1" applyFont="1" applyProtection="1"/>
    <xf numFmtId="37" fontId="1" fillId="0" borderId="0" xfId="0" applyNumberFormat="1" applyFont="1" applyFill="1" applyProtection="1"/>
    <xf numFmtId="165" fontId="1" fillId="0" borderId="1" xfId="2" applyNumberFormat="1" applyFont="1" applyBorder="1" applyProtection="1"/>
    <xf numFmtId="10" fontId="1" fillId="0" borderId="1" xfId="0" applyNumberFormat="1" applyFont="1" applyBorder="1" applyProtection="1"/>
    <xf numFmtId="10" fontId="1" fillId="0" borderId="1" xfId="3" applyNumberFormat="1" applyFont="1" applyBorder="1" applyProtection="1"/>
    <xf numFmtId="165" fontId="0" fillId="0" borderId="2" xfId="2" applyNumberFormat="1" applyFont="1" applyBorder="1"/>
    <xf numFmtId="10" fontId="6" fillId="0" borderId="0" xfId="0" applyNumberFormat="1" applyFont="1" applyProtection="1"/>
    <xf numFmtId="10" fontId="6" fillId="0" borderId="0" xfId="3" applyNumberFormat="1" applyFont="1" applyProtection="1"/>
    <xf numFmtId="37" fontId="1" fillId="0" borderId="0" xfId="0" applyFont="1" applyFill="1"/>
    <xf numFmtId="37" fontId="2" fillId="0" borderId="0" xfId="0" applyFont="1" applyFill="1" applyAlignment="1">
      <alignment horizontal="center"/>
    </xf>
    <xf numFmtId="37" fontId="1" fillId="0" borderId="0" xfId="0" applyFont="1" applyFill="1" applyAlignment="1">
      <alignment horizontal="right"/>
    </xf>
    <xf numFmtId="37" fontId="1" fillId="0" borderId="0" xfId="0" applyFont="1" applyFill="1" applyAlignment="1" applyProtection="1">
      <alignment horizontal="left"/>
    </xf>
    <xf numFmtId="37" fontId="1" fillId="0" borderId="0" xfId="0" applyFont="1" applyFill="1" applyAlignment="1" applyProtection="1">
      <alignment horizontal="right"/>
    </xf>
    <xf numFmtId="37" fontId="1" fillId="0" borderId="3" xfId="0" applyFont="1" applyFill="1" applyBorder="1" applyAlignment="1" applyProtection="1">
      <alignment horizontal="left"/>
    </xf>
    <xf numFmtId="37" fontId="1" fillId="0" borderId="1" xfId="0" applyFont="1" applyFill="1" applyBorder="1"/>
    <xf numFmtId="37" fontId="1" fillId="0" borderId="3" xfId="0" applyFont="1" applyFill="1" applyBorder="1"/>
    <xf numFmtId="37" fontId="1" fillId="0" borderId="1" xfId="0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center"/>
    </xf>
    <xf numFmtId="37" fontId="1" fillId="0" borderId="1" xfId="0" applyFont="1" applyFill="1" applyBorder="1" applyAlignment="1" applyProtection="1">
      <alignment horizontal="center"/>
    </xf>
    <xf numFmtId="165" fontId="2" fillId="0" borderId="0" xfId="2" applyNumberFormat="1" applyFont="1" applyFill="1" applyProtection="1"/>
    <xf numFmtId="37" fontId="7" fillId="0" borderId="0" xfId="0" applyNumberFormat="1" applyFont="1" applyFill="1" applyProtection="1"/>
    <xf numFmtId="166" fontId="2" fillId="0" borderId="0" xfId="0" applyNumberFormat="1" applyFont="1" applyFill="1" applyProtection="1"/>
    <xf numFmtId="164" fontId="1" fillId="0" borderId="0" xfId="0" applyNumberFormat="1" applyFont="1" applyFill="1" applyProtection="1"/>
    <xf numFmtId="37" fontId="8" fillId="0" borderId="0" xfId="0" applyNumberFormat="1" applyFont="1" applyFill="1" applyProtection="1"/>
    <xf numFmtId="37" fontId="1" fillId="0" borderId="1" xfId="0" applyNumberFormat="1" applyFont="1" applyFill="1" applyBorder="1" applyProtection="1"/>
    <xf numFmtId="10" fontId="1" fillId="0" borderId="0" xfId="0" applyNumberFormat="1" applyFont="1" applyFill="1" applyProtection="1"/>
    <xf numFmtId="165" fontId="1" fillId="0" borderId="0" xfId="2" applyNumberFormat="1" applyFont="1" applyFill="1" applyProtection="1"/>
    <xf numFmtId="37" fontId="9" fillId="0" borderId="0" xfId="0" applyFont="1" applyFill="1"/>
    <xf numFmtId="37" fontId="2" fillId="0" borderId="0" xfId="0" applyFont="1" applyFill="1" applyAlignment="1" applyProtection="1">
      <alignment horizontal="left"/>
    </xf>
    <xf numFmtId="37" fontId="0" fillId="0" borderId="0" xfId="0" applyFont="1" applyFill="1"/>
    <xf numFmtId="37" fontId="10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left"/>
    </xf>
    <xf numFmtId="37" fontId="0" fillId="0" borderId="0" xfId="0" applyNumberFormat="1" applyFont="1" applyFill="1" applyProtection="1"/>
    <xf numFmtId="164" fontId="0" fillId="0" borderId="0" xfId="0" applyNumberFormat="1" applyFont="1" applyFill="1" applyProtection="1"/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>
      <alignment horizontal="right"/>
    </xf>
    <xf numFmtId="37" fontId="0" fillId="0" borderId="0" xfId="0" applyFont="1" applyFill="1" applyAlignment="1" applyProtection="1">
      <alignment horizontal="right"/>
    </xf>
    <xf numFmtId="37" fontId="0" fillId="0" borderId="1" xfId="0" applyFont="1" applyFill="1" applyBorder="1" applyAlignment="1" applyProtection="1">
      <alignment horizontal="left"/>
    </xf>
    <xf numFmtId="37" fontId="0" fillId="0" borderId="1" xfId="0" applyFont="1" applyFill="1" applyBorder="1"/>
    <xf numFmtId="37" fontId="0" fillId="0" borderId="3" xfId="0" applyFont="1" applyFill="1" applyBorder="1"/>
    <xf numFmtId="37" fontId="0" fillId="0" borderId="1" xfId="0" applyFont="1" applyFill="1" applyBorder="1" applyAlignment="1" applyProtection="1">
      <alignment horizontal="right"/>
    </xf>
    <xf numFmtId="37" fontId="0" fillId="0" borderId="0" xfId="0" applyFont="1" applyFill="1" applyBorder="1" applyAlignment="1" applyProtection="1">
      <alignment horizontal="left"/>
    </xf>
    <xf numFmtId="37" fontId="0" fillId="0" borderId="0" xfId="0" applyFont="1" applyFill="1" applyBorder="1"/>
    <xf numFmtId="37" fontId="0" fillId="0" borderId="0" xfId="0" applyFont="1" applyFill="1" applyBorder="1" applyAlignment="1" applyProtection="1">
      <alignment horizontal="right"/>
    </xf>
    <xf numFmtId="37" fontId="0" fillId="0" borderId="0" xfId="0" applyFont="1" applyFill="1" applyAlignment="1">
      <alignment horizontal="center"/>
    </xf>
    <xf numFmtId="37" fontId="0" fillId="0" borderId="0" xfId="0" applyFont="1" applyFill="1" applyAlignment="1" applyProtection="1">
      <alignment horizontal="center"/>
    </xf>
    <xf numFmtId="37" fontId="0" fillId="0" borderId="1" xfId="0" applyFont="1" applyFill="1" applyBorder="1" applyAlignment="1" applyProtection="1">
      <alignment horizontal="center"/>
    </xf>
    <xf numFmtId="10" fontId="11" fillId="0" borderId="0" xfId="3" applyNumberFormat="1" applyFont="1" applyFill="1"/>
    <xf numFmtId="5" fontId="0" fillId="0" borderId="0" xfId="0" applyNumberFormat="1" applyFont="1" applyFill="1" applyProtection="1"/>
    <xf numFmtId="37" fontId="2" fillId="0" borderId="0" xfId="0" applyNumberFormat="1" applyFont="1" applyFill="1" applyProtection="1"/>
    <xf numFmtId="10" fontId="0" fillId="0" borderId="0" xfId="0" applyNumberFormat="1" applyFont="1" applyFill="1" applyProtection="1"/>
    <xf numFmtId="37" fontId="0" fillId="0" borderId="3" xfId="0" applyNumberFormat="1" applyFont="1" applyFill="1" applyBorder="1" applyProtection="1"/>
    <xf numFmtId="165" fontId="2" fillId="0" borderId="4" xfId="0" applyNumberFormat="1" applyFont="1" applyFill="1" applyBorder="1" applyProtection="1"/>
    <xf numFmtId="5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166" fontId="0" fillId="0" borderId="0" xfId="0" applyNumberFormat="1" applyFont="1" applyFill="1" applyProtection="1"/>
    <xf numFmtId="7" fontId="0" fillId="0" borderId="5" xfId="0" applyNumberFormat="1" applyFont="1" applyFill="1" applyBorder="1" applyProtection="1"/>
    <xf numFmtId="37" fontId="0" fillId="0" borderId="5" xfId="0" applyFont="1" applyFill="1" applyBorder="1"/>
    <xf numFmtId="10" fontId="12" fillId="0" borderId="2" xfId="3" applyNumberFormat="1" applyFont="1" applyFill="1" applyBorder="1"/>
    <xf numFmtId="167" fontId="1" fillId="0" borderId="0" xfId="0" applyNumberFormat="1" applyFont="1" applyProtection="1"/>
    <xf numFmtId="37" fontId="1" fillId="0" borderId="0" xfId="0" applyFont="1" applyAlignment="1">
      <alignment horizontal="right"/>
    </xf>
    <xf numFmtId="49" fontId="13" fillId="0" borderId="0" xfId="0" applyNumberFormat="1" applyFont="1" applyFill="1" applyBorder="1" applyAlignment="1">
      <alignment horizontal="centerContinuous"/>
    </xf>
    <xf numFmtId="49" fontId="0" fillId="0" borderId="0" xfId="0" applyNumberFormat="1" applyFont="1" applyFill="1" applyBorder="1" applyAlignment="1">
      <alignment horizontal="centerContinuous"/>
    </xf>
    <xf numFmtId="0" fontId="13" fillId="0" borderId="6" xfId="0" applyNumberFormat="1" applyFont="1" applyFill="1" applyBorder="1" applyAlignment="1">
      <alignment horizontal="centerContinuous"/>
    </xf>
    <xf numFmtId="0" fontId="0" fillId="0" borderId="7" xfId="0" applyNumberFormat="1" applyFont="1" applyFill="1" applyBorder="1" applyAlignment="1">
      <alignment horizontal="centerContinuous"/>
    </xf>
    <xf numFmtId="0" fontId="0" fillId="0" borderId="8" xfId="0" applyNumberFormat="1" applyFont="1" applyFill="1" applyBorder="1" applyAlignment="1">
      <alignment horizontal="centerContinuous"/>
    </xf>
    <xf numFmtId="37" fontId="3" fillId="0" borderId="0" xfId="0" applyFont="1" applyFill="1"/>
    <xf numFmtId="37" fontId="0" fillId="0" borderId="9" xfId="0" applyFont="1" applyFill="1" applyBorder="1"/>
    <xf numFmtId="37" fontId="0" fillId="0" borderId="0" xfId="0" applyFont="1" applyFill="1" applyBorder="1" applyAlignment="1" applyProtection="1">
      <alignment horizontal="center"/>
    </xf>
    <xf numFmtId="37" fontId="0" fillId="0" borderId="10" xfId="0" applyFont="1" applyFill="1" applyBorder="1" applyAlignment="1" applyProtection="1">
      <alignment horizontal="center"/>
    </xf>
    <xf numFmtId="37" fontId="0" fillId="0" borderId="11" xfId="0" applyFont="1" applyFill="1" applyBorder="1" applyAlignment="1" applyProtection="1">
      <alignment horizontal="center"/>
    </xf>
    <xf numFmtId="37" fontId="0" fillId="0" borderId="12" xfId="0" applyFont="1" applyFill="1" applyBorder="1"/>
    <xf numFmtId="37" fontId="0" fillId="0" borderId="12" xfId="0" applyFont="1" applyFill="1" applyBorder="1" applyAlignment="1" applyProtection="1">
      <alignment horizontal="center"/>
    </xf>
    <xf numFmtId="37" fontId="0" fillId="0" borderId="13" xfId="0" applyFont="1" applyFill="1" applyBorder="1" applyAlignment="1" applyProtection="1">
      <alignment horizontal="center"/>
    </xf>
    <xf numFmtId="10" fontId="0" fillId="0" borderId="0" xfId="3" applyNumberFormat="1" applyFont="1" applyFill="1" applyProtection="1"/>
    <xf numFmtId="10" fontId="0" fillId="0" borderId="0" xfId="3" applyNumberFormat="1" applyFont="1" applyFill="1"/>
    <xf numFmtId="37" fontId="0" fillId="0" borderId="1" xfId="0" applyNumberFormat="1" applyFont="1" applyFill="1" applyBorder="1" applyProtection="1"/>
    <xf numFmtId="10" fontId="0" fillId="0" borderId="3" xfId="0" applyNumberFormat="1" applyFont="1" applyFill="1" applyBorder="1" applyProtection="1"/>
    <xf numFmtId="10" fontId="0" fillId="0" borderId="3" xfId="3" applyNumberFormat="1" applyFont="1" applyFill="1" applyBorder="1" applyProtection="1"/>
    <xf numFmtId="10" fontId="0" fillId="0" borderId="0" xfId="0" applyNumberFormat="1" applyFont="1" applyFill="1"/>
    <xf numFmtId="10" fontId="0" fillId="0" borderId="1" xfId="0" applyNumberFormat="1" applyFont="1" applyFill="1" applyBorder="1" applyProtection="1"/>
    <xf numFmtId="10" fontId="0" fillId="0" borderId="1" xfId="3" applyNumberFormat="1" applyFont="1" applyFill="1" applyBorder="1" applyProtection="1"/>
    <xf numFmtId="37" fontId="0" fillId="0" borderId="2" xfId="0" applyNumberFormat="1" applyFont="1" applyFill="1" applyBorder="1" applyProtection="1"/>
    <xf numFmtId="10" fontId="0" fillId="0" borderId="2" xfId="0" applyNumberFormat="1" applyFont="1" applyFill="1" applyBorder="1" applyProtection="1"/>
    <xf numFmtId="10" fontId="6" fillId="0" borderId="0" xfId="0" applyNumberFormat="1" applyFont="1" applyFill="1" applyProtection="1"/>
    <xf numFmtId="37" fontId="8" fillId="0" borderId="0" xfId="0" applyNumberFormat="1" applyFont="1" applyProtection="1"/>
    <xf numFmtId="37" fontId="14" fillId="0" borderId="0" xfId="0" applyNumberFormat="1" applyFont="1" applyProtection="1"/>
    <xf numFmtId="168" fontId="1" fillId="0" borderId="0" xfId="0" applyNumberFormat="1" applyFont="1" applyProtection="1"/>
    <xf numFmtId="9" fontId="1" fillId="0" borderId="0" xfId="3" applyFont="1" applyProtection="1"/>
    <xf numFmtId="165" fontId="2" fillId="0" borderId="0" xfId="2" applyNumberFormat="1" applyFont="1" applyProtection="1"/>
    <xf numFmtId="169" fontId="1" fillId="0" borderId="0" xfId="0" applyNumberFormat="1" applyFont="1" applyFill="1" applyProtection="1"/>
    <xf numFmtId="10" fontId="2" fillId="0" borderId="0" xfId="3" applyNumberFormat="1" applyFont="1" applyProtection="1"/>
    <xf numFmtId="37" fontId="7" fillId="0" borderId="0" xfId="0" applyNumberFormat="1" applyFont="1" applyProtection="1"/>
    <xf numFmtId="37" fontId="2" fillId="0" borderId="0" xfId="0" applyNumberFormat="1" applyFont="1" applyProtection="1"/>
    <xf numFmtId="165" fontId="2" fillId="0" borderId="1" xfId="2" applyNumberFormat="1" applyFont="1" applyBorder="1" applyProtection="1"/>
    <xf numFmtId="169" fontId="1" fillId="0" borderId="3" xfId="0" applyNumberFormat="1" applyFont="1" applyFill="1" applyBorder="1" applyProtection="1"/>
    <xf numFmtId="169" fontId="1" fillId="0" borderId="0" xfId="0" applyNumberFormat="1" applyFont="1" applyFill="1"/>
    <xf numFmtId="10" fontId="1" fillId="0" borderId="0" xfId="3" applyNumberFormat="1" applyFont="1"/>
    <xf numFmtId="169" fontId="6" fillId="0" borderId="0" xfId="0" applyNumberFormat="1" applyFont="1" applyProtection="1"/>
    <xf numFmtId="170" fontId="0" fillId="0" borderId="0" xfId="3" applyNumberFormat="1" applyFont="1" applyFill="1" applyProtection="1"/>
    <xf numFmtId="37" fontId="6" fillId="0" borderId="0" xfId="0" applyNumberFormat="1" applyFont="1" applyFill="1" applyProtection="1"/>
    <xf numFmtId="37" fontId="13" fillId="0" borderId="0" xfId="0" applyFont="1" applyFill="1"/>
    <xf numFmtId="165" fontId="0" fillId="0" borderId="0" xfId="2" applyNumberFormat="1" applyFont="1" applyFill="1" applyProtection="1"/>
    <xf numFmtId="171" fontId="0" fillId="0" borderId="0" xfId="1" applyNumberFormat="1" applyFont="1" applyFill="1" applyProtection="1"/>
    <xf numFmtId="165" fontId="2" fillId="0" borderId="4" xfId="2" applyNumberFormat="1" applyFont="1" applyFill="1" applyBorder="1" applyProtection="1"/>
    <xf numFmtId="10" fontId="2" fillId="0" borderId="0" xfId="0" applyNumberFormat="1" applyFont="1" applyFill="1" applyProtection="1"/>
    <xf numFmtId="165" fontId="0" fillId="0" borderId="4" xfId="2" applyNumberFormat="1" applyFont="1" applyFill="1" applyBorder="1" applyProtection="1"/>
    <xf numFmtId="37" fontId="2" fillId="0" borderId="0" xfId="0" applyFont="1" applyFill="1"/>
    <xf numFmtId="171" fontId="2" fillId="0" borderId="0" xfId="1" applyNumberFormat="1" applyFont="1" applyFill="1" applyProtection="1"/>
    <xf numFmtId="9" fontId="0" fillId="0" borderId="0" xfId="0" applyNumberFormat="1" applyFont="1" applyFill="1"/>
    <xf numFmtId="165" fontId="0" fillId="0" borderId="5" xfId="2" applyNumberFormat="1" applyFont="1" applyFill="1" applyBorder="1"/>
    <xf numFmtId="10" fontId="0" fillId="0" borderId="2" xfId="3" applyNumberFormat="1" applyFont="1" applyFill="1" applyBorder="1"/>
    <xf numFmtId="37" fontId="1" fillId="0" borderId="0" xfId="0" applyFont="1" applyFill="1" applyAlignment="1">
      <alignment horizontal="center"/>
    </xf>
    <xf numFmtId="37" fontId="2" fillId="0" borderId="0" xfId="0" applyFont="1" applyFill="1" applyAlignment="1">
      <alignment horizontal="center"/>
    </xf>
    <xf numFmtId="37" fontId="0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view="pageBreakPreview" zoomScale="80" zoomScaleNormal="90" zoomScaleSheetLayoutView="80" workbookViewId="0">
      <selection activeCell="Q15" sqref="Q15"/>
    </sheetView>
  </sheetViews>
  <sheetFormatPr defaultColWidth="10.109375" defaultRowHeight="15"/>
  <cols>
    <col min="1" max="1" width="5" style="1" customWidth="1"/>
    <col min="2" max="2" width="4.5546875" style="1" customWidth="1"/>
    <col min="3" max="3" width="16.109375" style="1" customWidth="1"/>
    <col min="4" max="4" width="5" style="1" customWidth="1"/>
    <col min="5" max="5" width="11" style="1" customWidth="1"/>
    <col min="6" max="6" width="5" style="1" customWidth="1"/>
    <col min="7" max="7" width="14.88671875" style="1" customWidth="1"/>
    <col min="8" max="8" width="5" style="1" customWidth="1"/>
    <col min="9" max="9" width="10.109375" style="1"/>
    <col min="10" max="10" width="5" style="1" customWidth="1"/>
    <col min="11" max="11" width="10.109375" style="1"/>
    <col min="12" max="12" width="5" style="1" customWidth="1"/>
    <col min="13" max="13" width="10.109375" style="1"/>
    <col min="14" max="14" width="6.6640625" style="1" customWidth="1"/>
    <col min="15" max="16" width="8.6640625" style="1" bestFit="1" customWidth="1"/>
    <col min="17" max="17" width="7.6640625" style="1" bestFit="1" customWidth="1"/>
    <col min="18" max="18" width="2.44140625" style="1" customWidth="1"/>
    <col min="19" max="19" width="10.109375" style="1"/>
    <col min="20" max="20" width="2.44140625" style="1" customWidth="1"/>
    <col min="21" max="21" width="10.109375" style="1"/>
    <col min="22" max="22" width="6.6640625" style="1" customWidth="1"/>
    <col min="23" max="16384" width="10.109375" style="1"/>
  </cols>
  <sheetData>
    <row r="1" spans="1:22">
      <c r="A1" s="130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22">
      <c r="A2" s="130" t="s">
        <v>121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22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22">
      <c r="A4" s="130" t="s">
        <v>122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2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2">
      <c r="M6" s="1" t="s">
        <v>1</v>
      </c>
    </row>
    <row r="7" spans="1:22">
      <c r="A7" s="3" t="s">
        <v>2</v>
      </c>
      <c r="M7" s="4" t="s">
        <v>3</v>
      </c>
    </row>
    <row r="8" spans="1:22">
      <c r="A8" s="5" t="s">
        <v>4</v>
      </c>
      <c r="M8" s="4" t="s">
        <v>5</v>
      </c>
    </row>
    <row r="9" spans="1:2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 t="s">
        <v>7</v>
      </c>
    </row>
    <row r="10" spans="1:22">
      <c r="L10" s="9"/>
      <c r="M10" s="9"/>
      <c r="N10" s="9"/>
      <c r="S10" s="9"/>
      <c r="T10" s="9"/>
      <c r="U10" s="9"/>
      <c r="V10" s="9"/>
    </row>
    <row r="11" spans="1:22">
      <c r="A11" s="10" t="s">
        <v>8</v>
      </c>
      <c r="E11" s="10" t="s">
        <v>9</v>
      </c>
      <c r="I11" s="10" t="s">
        <v>10</v>
      </c>
      <c r="M11" s="10" t="s">
        <v>11</v>
      </c>
    </row>
    <row r="12" spans="1:22">
      <c r="A12" s="11" t="s">
        <v>12</v>
      </c>
      <c r="B12" s="7"/>
      <c r="C12" s="6" t="s">
        <v>13</v>
      </c>
      <c r="D12" s="7"/>
      <c r="E12" s="11" t="s">
        <v>14</v>
      </c>
      <c r="F12" s="7"/>
      <c r="G12" s="11" t="s">
        <v>15</v>
      </c>
      <c r="H12" s="7"/>
      <c r="I12" s="11" t="s">
        <v>16</v>
      </c>
      <c r="J12" s="7"/>
      <c r="K12" s="11" t="s">
        <v>17</v>
      </c>
      <c r="L12" s="7"/>
      <c r="M12" s="11" t="s">
        <v>18</v>
      </c>
    </row>
    <row r="13" spans="1:22">
      <c r="E13" s="10" t="s">
        <v>19</v>
      </c>
      <c r="G13" s="10" t="s">
        <v>20</v>
      </c>
      <c r="I13" s="10" t="s">
        <v>21</v>
      </c>
      <c r="K13" s="10" t="s">
        <v>22</v>
      </c>
      <c r="M13" s="10" t="s">
        <v>23</v>
      </c>
    </row>
    <row r="14" spans="1:22">
      <c r="G14" s="10" t="s">
        <v>24</v>
      </c>
      <c r="I14" s="10" t="s">
        <v>25</v>
      </c>
      <c r="K14" s="10" t="s">
        <v>25</v>
      </c>
      <c r="M14" s="10" t="s">
        <v>25</v>
      </c>
    </row>
    <row r="16" spans="1:22">
      <c r="G16" s="12"/>
      <c r="K16" s="13"/>
      <c r="O16" s="12"/>
      <c r="S16" s="13"/>
    </row>
    <row r="17" spans="1:21" ht="15.75">
      <c r="C17" s="14" t="s">
        <v>26</v>
      </c>
      <c r="G17" s="12"/>
      <c r="I17" s="15"/>
      <c r="K17" s="13"/>
      <c r="M17" s="13"/>
      <c r="O17" s="12"/>
      <c r="Q17" s="15"/>
      <c r="S17" s="13"/>
      <c r="U17" s="13"/>
    </row>
    <row r="18" spans="1:21">
      <c r="G18" s="12"/>
      <c r="K18" s="13"/>
      <c r="O18" s="12"/>
      <c r="S18" s="13"/>
    </row>
    <row r="19" spans="1:21">
      <c r="A19" s="10">
        <v>6</v>
      </c>
      <c r="C19" s="3" t="s">
        <v>27</v>
      </c>
      <c r="E19" s="16" t="s">
        <v>28</v>
      </c>
      <c r="F19" s="12"/>
      <c r="G19" s="17">
        <f>+J.1!H17</f>
        <v>242504.31246159747</v>
      </c>
      <c r="H19" s="12"/>
      <c r="I19" s="15">
        <f>+G19/G27</f>
        <v>3.3630015346410788E-2</v>
      </c>
      <c r="J19" s="12"/>
      <c r="K19" s="18">
        <f>+J.1!L17</f>
        <v>1.9898265289283203E-2</v>
      </c>
      <c r="L19" s="12"/>
      <c r="M19" s="18">
        <f>ROUND(I19*K19,4)</f>
        <v>6.9999999999999999E-4</v>
      </c>
      <c r="O19" s="12"/>
      <c r="Q19" s="12"/>
      <c r="S19" s="13"/>
      <c r="U19" s="13"/>
    </row>
    <row r="20" spans="1:21">
      <c r="E20" s="12"/>
      <c r="F20" s="12"/>
      <c r="G20" s="12"/>
      <c r="H20" s="12"/>
      <c r="I20" s="12"/>
      <c r="J20" s="12"/>
      <c r="K20" s="18"/>
      <c r="L20" s="12"/>
      <c r="M20" s="18"/>
    </row>
    <row r="21" spans="1:21">
      <c r="A21" s="10">
        <v>7</v>
      </c>
      <c r="C21" s="3" t="s">
        <v>29</v>
      </c>
      <c r="E21" s="16" t="s">
        <v>28</v>
      </c>
      <c r="F21" s="12"/>
      <c r="G21" s="19">
        <f>'J-3 B'!E34*0.001</f>
        <v>3066734.19575</v>
      </c>
      <c r="H21" s="12"/>
      <c r="I21" s="15">
        <f>+G21/G27</f>
        <v>0.42528859392043761</v>
      </c>
      <c r="J21" s="12"/>
      <c r="K21" s="18">
        <f>+J.1!L19</f>
        <v>5.1299999999999998E-2</v>
      </c>
      <c r="L21" s="12"/>
      <c r="M21" s="18">
        <f>ROUND(I21*K21,4)</f>
        <v>2.18E-2</v>
      </c>
    </row>
    <row r="22" spans="1:21">
      <c r="E22" s="12"/>
      <c r="F22" s="12"/>
      <c r="G22" s="12"/>
      <c r="H22" s="12"/>
      <c r="I22" s="12"/>
      <c r="J22" s="12"/>
      <c r="K22" s="18"/>
      <c r="L22" s="12"/>
      <c r="M22" s="18"/>
    </row>
    <row r="23" spans="1:21">
      <c r="A23" s="10">
        <v>8</v>
      </c>
      <c r="C23" s="3" t="s">
        <v>30</v>
      </c>
      <c r="E23" s="16" t="s">
        <v>31</v>
      </c>
      <c r="F23" s="12"/>
      <c r="G23" s="12">
        <f>+J.1!H23</f>
        <v>0</v>
      </c>
      <c r="H23" s="12"/>
      <c r="I23" s="15">
        <f>+G23/G27</f>
        <v>0</v>
      </c>
      <c r="J23" s="12"/>
      <c r="K23" s="18">
        <f>+J.1!L23</f>
        <v>0</v>
      </c>
      <c r="L23" s="12"/>
      <c r="M23" s="18">
        <f>ROUND(I23*K23,4)</f>
        <v>0</v>
      </c>
    </row>
    <row r="24" spans="1:21">
      <c r="E24" s="12"/>
      <c r="F24" s="12"/>
      <c r="G24" s="12"/>
      <c r="H24" s="12"/>
      <c r="I24" s="12"/>
      <c r="J24" s="12"/>
      <c r="K24" s="18"/>
      <c r="L24" s="12"/>
      <c r="M24" s="18"/>
    </row>
    <row r="25" spans="1:21">
      <c r="A25" s="10">
        <v>9</v>
      </c>
      <c r="C25" s="3" t="s">
        <v>32</v>
      </c>
      <c r="E25" s="12"/>
      <c r="F25" s="12"/>
      <c r="G25" s="20">
        <f>+J.1!H25</f>
        <v>3901710.1031300002</v>
      </c>
      <c r="H25" s="12"/>
      <c r="I25" s="21">
        <f>+G25/G27</f>
        <v>0.54108139073315165</v>
      </c>
      <c r="J25" s="12"/>
      <c r="K25" s="18">
        <f>+J.1!L25</f>
        <v>0.10299999999999999</v>
      </c>
      <c r="L25" s="12"/>
      <c r="M25" s="22">
        <f>ROUND(I25*K25,4)</f>
        <v>5.57E-2</v>
      </c>
    </row>
    <row r="26" spans="1:21">
      <c r="G26" s="12"/>
      <c r="K26" s="13"/>
    </row>
    <row r="27" spans="1:21" ht="15.75" thickBot="1">
      <c r="A27" s="10">
        <v>10</v>
      </c>
      <c r="C27" s="3" t="s">
        <v>33</v>
      </c>
      <c r="G27" s="23">
        <f>SUM(G19:G25)</f>
        <v>7210948.6113415975</v>
      </c>
      <c r="I27" s="24">
        <f>SUM(I19:I25)</f>
        <v>1</v>
      </c>
      <c r="K27" s="15"/>
      <c r="M27" s="25">
        <f>(+M19+M21+M23+M25)</f>
        <v>7.8199999999999992E-2</v>
      </c>
    </row>
    <row r="28" spans="1:21" ht="15.75" thickTop="1"/>
  </sheetData>
  <mergeCells count="4">
    <mergeCell ref="A1:M1"/>
    <mergeCell ref="A2:M2"/>
    <mergeCell ref="A3:M3"/>
    <mergeCell ref="A4:M4"/>
  </mergeCells>
  <printOptions horizontalCentered="1"/>
  <pageMargins left="0.67" right="0.75" top="0.75" bottom="1.26" header="0.5" footer="0.5"/>
  <pageSetup scale="95" orientation="landscape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="60" zoomScaleNormal="90" workbookViewId="0">
      <selection activeCell="Q15" sqref="Q15"/>
    </sheetView>
  </sheetViews>
  <sheetFormatPr defaultColWidth="10.109375" defaultRowHeight="15"/>
  <cols>
    <col min="1" max="1" width="6.5546875" style="26" customWidth="1"/>
    <col min="2" max="2" width="3.33203125" style="26" customWidth="1"/>
    <col min="3" max="3" width="16.109375" style="26" customWidth="1"/>
    <col min="4" max="4" width="11" style="26" customWidth="1"/>
    <col min="5" max="5" width="5.88671875" style="26" customWidth="1"/>
    <col min="6" max="6" width="13.109375" style="26" bestFit="1" customWidth="1"/>
    <col min="7" max="7" width="5" style="26" customWidth="1"/>
    <col min="8" max="8" width="10.109375" style="26"/>
    <col min="9" max="9" width="5" style="26" customWidth="1"/>
    <col min="10" max="10" width="10.109375" style="26" customWidth="1"/>
    <col min="11" max="11" width="6.33203125" style="26" customWidth="1"/>
    <col min="12" max="12" width="11.88671875" style="26" customWidth="1"/>
    <col min="13" max="16384" width="10.109375" style="26"/>
  </cols>
  <sheetData>
    <row r="1" spans="1:17">
      <c r="A1" s="131" t="s">
        <v>120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7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7">
      <c r="A3" s="131" t="s">
        <v>34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7">
      <c r="A4" s="131" t="s">
        <v>35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7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7">
      <c r="L6" s="28" t="s">
        <v>1</v>
      </c>
    </row>
    <row r="7" spans="1:17">
      <c r="A7" s="29" t="str">
        <f>'J-1 Base'!A7</f>
        <v>Data:__X___Base Period______Forecasted Period</v>
      </c>
      <c r="L7" s="30" t="s">
        <v>36</v>
      </c>
    </row>
    <row r="8" spans="1:17">
      <c r="A8" s="29" t="str">
        <f>'J-1 Base'!A8</f>
        <v>Type of Filing:___X____Original________Updated ________Revised</v>
      </c>
      <c r="L8" s="30" t="s">
        <v>5</v>
      </c>
    </row>
    <row r="9" spans="1:17">
      <c r="A9" s="31" t="str">
        <f>'J-1 Base'!A9</f>
        <v>Workpaper Reference No(s).____________________</v>
      </c>
      <c r="B9" s="32"/>
      <c r="C9" s="32"/>
      <c r="D9" s="32"/>
      <c r="E9" s="32"/>
      <c r="F9" s="32"/>
      <c r="G9" s="32"/>
      <c r="H9" s="32"/>
      <c r="I9" s="32"/>
      <c r="J9" s="32"/>
      <c r="K9" s="33"/>
      <c r="L9" s="34" t="str">
        <f>'J-1 Base'!M9</f>
        <v>Witness:  Christian</v>
      </c>
    </row>
    <row r="10" spans="1:17">
      <c r="H10" s="2">
        <v>-1</v>
      </c>
      <c r="J10" s="35" t="s">
        <v>37</v>
      </c>
      <c r="L10" s="35" t="s">
        <v>38</v>
      </c>
    </row>
    <row r="11" spans="1:17">
      <c r="A11" s="35" t="s">
        <v>8</v>
      </c>
      <c r="F11" s="35" t="s">
        <v>15</v>
      </c>
      <c r="H11" s="35" t="s">
        <v>39</v>
      </c>
      <c r="J11" s="35" t="s">
        <v>40</v>
      </c>
      <c r="L11" s="35" t="s">
        <v>39</v>
      </c>
    </row>
    <row r="12" spans="1:17">
      <c r="A12" s="36" t="s">
        <v>12</v>
      </c>
      <c r="B12" s="32"/>
      <c r="C12" s="36" t="s">
        <v>41</v>
      </c>
      <c r="D12" s="32"/>
      <c r="E12" s="32"/>
      <c r="F12" s="36" t="s">
        <v>42</v>
      </c>
      <c r="G12" s="32"/>
      <c r="H12" s="36" t="s">
        <v>43</v>
      </c>
      <c r="I12" s="32"/>
      <c r="J12" s="36" t="s">
        <v>18</v>
      </c>
      <c r="K12" s="32"/>
      <c r="L12" s="36" t="s">
        <v>43</v>
      </c>
    </row>
    <row r="13" spans="1:17">
      <c r="C13" s="35" t="s">
        <v>19</v>
      </c>
      <c r="F13" s="35" t="s">
        <v>20</v>
      </c>
      <c r="H13" s="35" t="s">
        <v>21</v>
      </c>
      <c r="J13" s="35" t="s">
        <v>22</v>
      </c>
      <c r="L13" s="35" t="s">
        <v>44</v>
      </c>
    </row>
    <row r="14" spans="1:17">
      <c r="F14" s="35" t="s">
        <v>24</v>
      </c>
      <c r="J14" s="35" t="s">
        <v>24</v>
      </c>
    </row>
    <row r="16" spans="1:17">
      <c r="A16" s="35" t="s">
        <v>45</v>
      </c>
      <c r="C16" s="29" t="s">
        <v>46</v>
      </c>
      <c r="F16" s="37">
        <v>242504.31246159747</v>
      </c>
      <c r="G16" s="38"/>
      <c r="H16" s="39">
        <v>9.159292654358421E-3</v>
      </c>
      <c r="I16" s="40"/>
      <c r="J16" s="37">
        <f>F16*H16</f>
        <v>2221.1679677797488</v>
      </c>
      <c r="K16" s="19"/>
      <c r="L16" s="19"/>
      <c r="M16" s="19"/>
      <c r="N16" s="41"/>
      <c r="O16" s="19"/>
      <c r="P16" s="19"/>
      <c r="Q16" s="19"/>
    </row>
    <row r="18" spans="1:17">
      <c r="A18" s="35">
        <v>2</v>
      </c>
      <c r="C18" s="29" t="s">
        <v>47</v>
      </c>
      <c r="F18" s="42"/>
      <c r="G18" s="19"/>
      <c r="H18" s="19"/>
      <c r="I18" s="40"/>
      <c r="J18" s="37">
        <v>2604.2471753763439</v>
      </c>
      <c r="K18" s="19"/>
      <c r="L18" s="19"/>
      <c r="M18" s="19"/>
      <c r="N18" s="41"/>
      <c r="O18" s="19"/>
      <c r="P18" s="19"/>
      <c r="Q18" s="19"/>
    </row>
    <row r="19" spans="1:17">
      <c r="F19" s="19"/>
      <c r="G19" s="19"/>
      <c r="H19" s="43"/>
      <c r="I19" s="19"/>
      <c r="J19" s="19"/>
      <c r="K19" s="19"/>
      <c r="L19" s="19"/>
      <c r="M19" s="19"/>
      <c r="N19" s="19"/>
      <c r="O19" s="19"/>
      <c r="P19" s="19"/>
      <c r="Q19" s="19"/>
    </row>
    <row r="20" spans="1:17">
      <c r="A20" s="35">
        <v>3</v>
      </c>
      <c r="C20" s="29" t="s">
        <v>48</v>
      </c>
      <c r="F20" s="44">
        <f>SUM(F16:F18)</f>
        <v>242504.31246159747</v>
      </c>
      <c r="G20" s="19"/>
      <c r="H20" s="19"/>
      <c r="I20" s="40"/>
      <c r="J20" s="44">
        <f>SUM(J16:J18)</f>
        <v>4825.4151431560931</v>
      </c>
      <c r="K20" s="19"/>
      <c r="L20" s="43">
        <f>(J20/F20)</f>
        <v>1.9898265289283203E-2</v>
      </c>
      <c r="M20" s="19"/>
      <c r="N20" s="19"/>
      <c r="O20" s="19"/>
      <c r="P20" s="19"/>
      <c r="Q20" s="19"/>
    </row>
    <row r="21" spans="1:17">
      <c r="F21" s="19"/>
      <c r="G21" s="19"/>
      <c r="H21" s="43"/>
      <c r="I21" s="40"/>
      <c r="J21" s="40"/>
      <c r="K21" s="19"/>
      <c r="L21" s="19"/>
      <c r="M21" s="19"/>
      <c r="N21" s="19"/>
      <c r="O21" s="19"/>
      <c r="P21" s="19"/>
      <c r="Q21" s="19"/>
    </row>
    <row r="22" spans="1:17">
      <c r="F22" s="19"/>
      <c r="G22" s="19"/>
      <c r="H22" s="43"/>
      <c r="I22" s="40"/>
      <c r="J22" s="40"/>
      <c r="K22" s="19"/>
      <c r="L22" s="19"/>
      <c r="M22" s="19"/>
      <c r="N22" s="19"/>
      <c r="O22" s="19"/>
      <c r="P22" s="19"/>
      <c r="Q22" s="19"/>
    </row>
    <row r="23" spans="1:17">
      <c r="F23" s="19"/>
      <c r="G23" s="19"/>
      <c r="H23" s="43"/>
      <c r="I23" s="40"/>
      <c r="J23" s="40"/>
      <c r="K23" s="19"/>
      <c r="L23" s="19"/>
      <c r="M23" s="19"/>
      <c r="N23" s="19"/>
      <c r="O23" s="19"/>
      <c r="P23" s="19"/>
      <c r="Q23" s="19"/>
    </row>
    <row r="24" spans="1:17" ht="15.75">
      <c r="B24" s="45"/>
      <c r="G24" s="19"/>
      <c r="I24" s="40"/>
    </row>
    <row r="25" spans="1:17">
      <c r="C25" s="29" t="s">
        <v>49</v>
      </c>
      <c r="G25" s="19"/>
      <c r="H25" s="43"/>
      <c r="I25" s="40"/>
      <c r="J25" s="40"/>
    </row>
    <row r="26" spans="1:17">
      <c r="C26" s="29"/>
      <c r="G26" s="19"/>
      <c r="H26" s="43"/>
      <c r="I26" s="40"/>
      <c r="J26" s="40"/>
    </row>
    <row r="27" spans="1:17">
      <c r="C27" s="46" t="s">
        <v>50</v>
      </c>
      <c r="D27" s="47"/>
      <c r="E27" s="47"/>
      <c r="F27" s="47"/>
      <c r="G27" s="47"/>
      <c r="H27" s="47"/>
      <c r="I27" s="47"/>
      <c r="J27" s="47"/>
      <c r="K27" s="47"/>
    </row>
    <row r="28" spans="1:17">
      <c r="C28" s="48"/>
      <c r="D28" s="47"/>
      <c r="E28" s="47"/>
      <c r="F28" s="47"/>
      <c r="G28" s="47"/>
      <c r="H28" s="47"/>
      <c r="I28" s="47"/>
      <c r="J28" s="47"/>
      <c r="K28" s="47"/>
    </row>
    <row r="29" spans="1:17">
      <c r="C29" s="49"/>
      <c r="D29" s="47"/>
      <c r="E29" s="47"/>
      <c r="F29" s="47"/>
      <c r="G29" s="47"/>
      <c r="H29" s="47"/>
      <c r="I29" s="47"/>
      <c r="J29" s="47"/>
      <c r="K29" s="47"/>
    </row>
    <row r="30" spans="1:17">
      <c r="C30" s="49"/>
      <c r="D30" s="47"/>
      <c r="E30" s="47"/>
      <c r="F30" s="47"/>
      <c r="G30" s="50"/>
      <c r="H30" s="47"/>
      <c r="I30" s="51"/>
      <c r="J30" s="47"/>
      <c r="K30" s="47"/>
    </row>
    <row r="31" spans="1:17">
      <c r="C31" s="47"/>
      <c r="D31" s="47"/>
      <c r="E31" s="47"/>
      <c r="F31" s="47"/>
      <c r="G31" s="50"/>
      <c r="H31" s="50"/>
      <c r="I31" s="51"/>
      <c r="J31" s="51"/>
      <c r="K31" s="47"/>
    </row>
    <row r="32" spans="1:17">
      <c r="C32" s="49"/>
      <c r="D32" s="47"/>
      <c r="E32" s="47"/>
      <c r="F32" s="47"/>
      <c r="G32" s="50"/>
      <c r="H32" s="47"/>
      <c r="I32" s="47"/>
      <c r="J32" s="47"/>
      <c r="K32" s="47"/>
    </row>
    <row r="33" spans="3:11">
      <c r="C33" s="49"/>
      <c r="D33" s="47"/>
      <c r="E33" s="47"/>
      <c r="F33" s="47"/>
      <c r="G33" s="47"/>
      <c r="H33" s="47"/>
      <c r="I33" s="47"/>
      <c r="J33" s="47"/>
      <c r="K33" s="47"/>
    </row>
  </sheetData>
  <mergeCells count="4">
    <mergeCell ref="A1:L1"/>
    <mergeCell ref="A2:L2"/>
    <mergeCell ref="A3:L3"/>
    <mergeCell ref="A4:L4"/>
  </mergeCells>
  <printOptions horizontalCentered="1"/>
  <pageMargins left="0.75" right="0.75" top="0.82" bottom="1" header="0.5" footer="0.5"/>
  <pageSetup scale="97" orientation="landscape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="70" zoomScaleNormal="90" zoomScaleSheetLayoutView="70" workbookViewId="0">
      <selection activeCell="Q15" sqref="Q15"/>
    </sheetView>
  </sheetViews>
  <sheetFormatPr defaultColWidth="8.5546875" defaultRowHeight="15"/>
  <cols>
    <col min="1" max="1" width="4.21875" style="47" customWidth="1"/>
    <col min="2" max="2" width="1.88671875" style="47" customWidth="1"/>
    <col min="3" max="3" width="34" style="47" customWidth="1"/>
    <col min="4" max="4" width="3" style="47" customWidth="1"/>
    <col min="5" max="5" width="17.109375" style="47" customWidth="1"/>
    <col min="6" max="6" width="2.77734375" style="47" customWidth="1"/>
    <col min="7" max="7" width="7.5546875" style="47" customWidth="1"/>
    <col min="8" max="8" width="2.33203125" style="47" customWidth="1"/>
    <col min="9" max="9" width="14.77734375" style="47" customWidth="1"/>
    <col min="10" max="10" width="2" style="47" customWidth="1"/>
    <col min="11" max="11" width="9.21875" style="47" customWidth="1"/>
    <col min="12" max="12" width="8.5546875" style="47"/>
    <col min="13" max="13" width="9.44140625" style="47" customWidth="1"/>
    <col min="14" max="14" width="11.44140625" style="47" bestFit="1" customWidth="1"/>
    <col min="15" max="15" width="8.5546875" style="47"/>
    <col min="16" max="16" width="11.109375" style="47" customWidth="1"/>
    <col min="17" max="16384" width="8.5546875" style="47"/>
  </cols>
  <sheetData>
    <row r="1" spans="1:12">
      <c r="A1" s="132" t="s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2">
      <c r="A2" s="132" t="s">
        <v>121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>
      <c r="A3" s="132" t="s">
        <v>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2">
      <c r="A4" s="132" t="s">
        <v>122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6" spans="1:12">
      <c r="A6" s="52" t="s">
        <v>2</v>
      </c>
      <c r="K6" s="53" t="s">
        <v>1</v>
      </c>
    </row>
    <row r="7" spans="1:12">
      <c r="A7" s="46" t="s">
        <v>4</v>
      </c>
      <c r="K7" s="54" t="s">
        <v>52</v>
      </c>
    </row>
    <row r="8" spans="1:12">
      <c r="A8" s="55" t="s">
        <v>6</v>
      </c>
      <c r="B8" s="56"/>
      <c r="C8" s="56"/>
      <c r="D8" s="56"/>
      <c r="E8" s="56"/>
      <c r="F8" s="56"/>
      <c r="G8" s="56"/>
      <c r="H8" s="56"/>
      <c r="I8" s="56"/>
      <c r="J8" s="57"/>
      <c r="K8" s="58" t="str">
        <f>'J-1 Base'!$M$9</f>
        <v>Witness:  Christian</v>
      </c>
    </row>
    <row r="9" spans="1:12">
      <c r="A9" s="59"/>
      <c r="B9" s="60"/>
      <c r="C9" s="60"/>
      <c r="D9" s="60"/>
      <c r="E9" s="60"/>
      <c r="F9" s="60"/>
      <c r="G9" s="60"/>
      <c r="H9" s="60"/>
      <c r="I9" s="60"/>
      <c r="K9" s="61"/>
    </row>
    <row r="10" spans="1:12">
      <c r="E10" s="62" t="s">
        <v>53</v>
      </c>
      <c r="I10" s="63" t="s">
        <v>37</v>
      </c>
      <c r="K10" s="63" t="s">
        <v>38</v>
      </c>
    </row>
    <row r="11" spans="1:12">
      <c r="A11" s="63" t="s">
        <v>8</v>
      </c>
      <c r="E11" s="63" t="s">
        <v>15</v>
      </c>
      <c r="G11" s="63" t="s">
        <v>39</v>
      </c>
      <c r="I11" s="63" t="s">
        <v>40</v>
      </c>
      <c r="K11" s="63" t="s">
        <v>39</v>
      </c>
    </row>
    <row r="12" spans="1:12">
      <c r="A12" s="64" t="s">
        <v>12</v>
      </c>
      <c r="B12" s="56"/>
      <c r="C12" s="64" t="s">
        <v>41</v>
      </c>
      <c r="D12" s="56"/>
      <c r="E12" s="64" t="s">
        <v>42</v>
      </c>
      <c r="F12" s="56"/>
      <c r="G12" s="64" t="s">
        <v>43</v>
      </c>
      <c r="H12" s="56"/>
      <c r="I12" s="64" t="s">
        <v>18</v>
      </c>
      <c r="J12" s="56"/>
      <c r="K12" s="64" t="s">
        <v>43</v>
      </c>
    </row>
    <row r="13" spans="1:12">
      <c r="C13" s="63" t="s">
        <v>19</v>
      </c>
      <c r="E13" s="63" t="s">
        <v>20</v>
      </c>
      <c r="G13" s="63" t="s">
        <v>21</v>
      </c>
      <c r="I13" s="63" t="s">
        <v>22</v>
      </c>
      <c r="K13" s="63" t="s">
        <v>44</v>
      </c>
    </row>
    <row r="14" spans="1:12">
      <c r="E14" s="63"/>
      <c r="I14" s="63"/>
    </row>
    <row r="16" spans="1:12">
      <c r="A16" s="63">
        <v>1</v>
      </c>
      <c r="C16" s="52" t="s">
        <v>54</v>
      </c>
      <c r="E16" s="37">
        <v>150000000</v>
      </c>
      <c r="F16" s="50"/>
      <c r="G16" s="65">
        <v>6.7500000000000004E-2</v>
      </c>
      <c r="H16" s="51"/>
      <c r="I16" s="66">
        <f t="shared" ref="I16:I25" si="0">(E16*G16)</f>
        <v>10125000</v>
      </c>
      <c r="J16" s="50"/>
      <c r="K16" s="50"/>
      <c r="L16" s="50"/>
    </row>
    <row r="17" spans="1:16">
      <c r="A17" s="63">
        <f t="shared" ref="A17:A34" si="1">A16+1</f>
        <v>2</v>
      </c>
      <c r="C17" s="52" t="s">
        <v>55</v>
      </c>
      <c r="E17" s="67">
        <v>10000000</v>
      </c>
      <c r="F17" s="50"/>
      <c r="G17" s="65">
        <v>6.6699999999999995E-2</v>
      </c>
      <c r="H17" s="51"/>
      <c r="I17" s="50">
        <f>(E17*G17)</f>
        <v>667000</v>
      </c>
    </row>
    <row r="18" spans="1:16">
      <c r="A18" s="63">
        <f t="shared" si="1"/>
        <v>3</v>
      </c>
      <c r="C18" s="52" t="s">
        <v>56</v>
      </c>
      <c r="E18" s="67">
        <v>200000000</v>
      </c>
      <c r="F18" s="50"/>
      <c r="G18" s="65">
        <v>5.9499999999999997E-2</v>
      </c>
      <c r="H18" s="50"/>
      <c r="I18" s="50">
        <f>(E18*G18)</f>
        <v>11900000</v>
      </c>
      <c r="J18" s="50"/>
      <c r="K18" s="50"/>
      <c r="L18" s="50"/>
    </row>
    <row r="19" spans="1:16">
      <c r="A19" s="63">
        <f t="shared" si="1"/>
        <v>4</v>
      </c>
      <c r="C19" s="52" t="s">
        <v>57</v>
      </c>
      <c r="E19" s="67">
        <v>0</v>
      </c>
      <c r="F19" s="50"/>
      <c r="G19" s="65">
        <v>6.3500000000000001E-2</v>
      </c>
      <c r="H19" s="51"/>
      <c r="I19" s="50">
        <f t="shared" si="0"/>
        <v>0</v>
      </c>
      <c r="J19" s="50"/>
      <c r="K19" s="50"/>
      <c r="L19" s="50"/>
    </row>
    <row r="20" spans="1:16">
      <c r="A20" s="63">
        <f>A19+1</f>
        <v>5</v>
      </c>
      <c r="C20" s="52" t="s">
        <v>58</v>
      </c>
      <c r="E20" s="67">
        <v>400000000</v>
      </c>
      <c r="F20" s="50"/>
      <c r="G20" s="65">
        <v>5.5E-2</v>
      </c>
      <c r="H20" s="51"/>
      <c r="I20" s="50">
        <f>(E20*G20)</f>
        <v>22000000</v>
      </c>
      <c r="J20" s="50"/>
      <c r="K20" s="68"/>
      <c r="L20" s="50"/>
    </row>
    <row r="21" spans="1:16">
      <c r="A21" s="63">
        <f t="shared" si="1"/>
        <v>6</v>
      </c>
      <c r="C21" s="52" t="s">
        <v>59</v>
      </c>
      <c r="E21" s="67">
        <v>450000000</v>
      </c>
      <c r="F21" s="50"/>
      <c r="G21" s="65">
        <v>8.5000000000000006E-2</v>
      </c>
      <c r="H21" s="51"/>
      <c r="I21" s="50">
        <f t="shared" si="0"/>
        <v>38250000</v>
      </c>
      <c r="J21" s="50"/>
      <c r="K21" s="50"/>
      <c r="L21" s="50"/>
    </row>
    <row r="22" spans="1:16">
      <c r="A22" s="63">
        <f t="shared" si="1"/>
        <v>7</v>
      </c>
      <c r="C22" s="52" t="s">
        <v>60</v>
      </c>
      <c r="E22" s="67">
        <v>500000000</v>
      </c>
      <c r="F22" s="50"/>
      <c r="G22" s="65">
        <v>4.1500000000000002E-2</v>
      </c>
      <c r="H22" s="51"/>
      <c r="I22" s="50">
        <f t="shared" si="0"/>
        <v>20750000</v>
      </c>
    </row>
    <row r="23" spans="1:16">
      <c r="A23" s="63">
        <f t="shared" si="1"/>
        <v>8</v>
      </c>
      <c r="C23" s="52" t="s">
        <v>61</v>
      </c>
      <c r="E23" s="67">
        <v>750000000</v>
      </c>
      <c r="F23" s="50"/>
      <c r="G23" s="65">
        <v>4.1250000000000002E-2</v>
      </c>
      <c r="H23" s="51"/>
      <c r="I23" s="50">
        <f t="shared" si="0"/>
        <v>30937500</v>
      </c>
    </row>
    <row r="24" spans="1:16">
      <c r="A24" s="63">
        <f t="shared" si="1"/>
        <v>9</v>
      </c>
      <c r="C24" s="52" t="s">
        <v>62</v>
      </c>
      <c r="E24" s="67">
        <v>500000000</v>
      </c>
      <c r="F24" s="50"/>
      <c r="G24" s="65">
        <v>0.03</v>
      </c>
      <c r="H24" s="51"/>
      <c r="I24" s="50">
        <f t="shared" si="0"/>
        <v>15000000</v>
      </c>
    </row>
    <row r="25" spans="1:16">
      <c r="A25" s="63">
        <f t="shared" si="1"/>
        <v>10</v>
      </c>
      <c r="C25" s="52" t="s">
        <v>63</v>
      </c>
      <c r="E25" s="67">
        <v>125000000</v>
      </c>
      <c r="F25" s="50"/>
      <c r="G25" s="65">
        <v>2.1899999999999999E-2</v>
      </c>
      <c r="H25" s="51"/>
      <c r="I25" s="69">
        <f t="shared" si="0"/>
        <v>2737500</v>
      </c>
    </row>
    <row r="26" spans="1:16">
      <c r="A26" s="63">
        <f t="shared" si="1"/>
        <v>11</v>
      </c>
      <c r="C26" s="52" t="s">
        <v>64</v>
      </c>
      <c r="E26" s="70">
        <f>SUM(E16:E25)</f>
        <v>3085000000</v>
      </c>
      <c r="F26" s="50"/>
      <c r="G26" s="65"/>
      <c r="I26" s="71">
        <f>SUM(I16:I25)</f>
        <v>152367000</v>
      </c>
    </row>
    <row r="27" spans="1:16">
      <c r="A27" s="63">
        <f t="shared" si="1"/>
        <v>12</v>
      </c>
      <c r="C27" s="52"/>
      <c r="E27" s="71"/>
      <c r="F27" s="50"/>
      <c r="G27" s="65"/>
      <c r="I27" s="50"/>
      <c r="M27" s="50"/>
      <c r="N27" s="50"/>
      <c r="O27" s="65"/>
      <c r="P27" s="50"/>
    </row>
    <row r="28" spans="1:16">
      <c r="A28" s="63">
        <f t="shared" si="1"/>
        <v>13</v>
      </c>
      <c r="C28" s="52" t="s">
        <v>65</v>
      </c>
      <c r="E28" s="71"/>
      <c r="F28" s="50"/>
      <c r="G28" s="65"/>
      <c r="I28" s="71">
        <v>4955311.3260243991</v>
      </c>
      <c r="O28" s="65"/>
    </row>
    <row r="29" spans="1:16">
      <c r="A29" s="63">
        <f t="shared" si="1"/>
        <v>14</v>
      </c>
      <c r="C29" s="52" t="s">
        <v>66</v>
      </c>
      <c r="E29" s="71">
        <v>4370287.9400000013</v>
      </c>
      <c r="G29" s="68"/>
      <c r="I29" s="72"/>
      <c r="M29" s="50"/>
      <c r="N29" s="50"/>
      <c r="O29" s="65"/>
      <c r="P29" s="50"/>
    </row>
    <row r="30" spans="1:16">
      <c r="A30" s="63">
        <f t="shared" si="1"/>
        <v>15</v>
      </c>
      <c r="C30" s="52" t="s">
        <v>67</v>
      </c>
      <c r="E30" s="71">
        <v>-22636092.190000001</v>
      </c>
      <c r="G30" s="73"/>
      <c r="I30" s="50"/>
      <c r="M30" s="50"/>
      <c r="N30" s="50"/>
      <c r="O30" s="65"/>
      <c r="P30" s="50"/>
    </row>
    <row r="31" spans="1:16">
      <c r="A31" s="63">
        <f t="shared" si="1"/>
        <v>16</v>
      </c>
      <c r="C31" s="52"/>
      <c r="E31" s="67"/>
      <c r="G31" s="73"/>
      <c r="I31" s="50"/>
      <c r="M31" s="50"/>
      <c r="N31" s="50"/>
      <c r="O31" s="65"/>
      <c r="P31" s="50"/>
    </row>
    <row r="32" spans="1:16">
      <c r="A32" s="63">
        <f t="shared" si="1"/>
        <v>17</v>
      </c>
      <c r="C32" s="52"/>
      <c r="E32" s="67"/>
      <c r="G32" s="68"/>
      <c r="I32" s="50"/>
      <c r="M32" s="50"/>
      <c r="N32" s="50"/>
      <c r="O32" s="65"/>
      <c r="P32" s="50"/>
    </row>
    <row r="33" spans="1:16">
      <c r="A33" s="63">
        <f t="shared" si="1"/>
        <v>18</v>
      </c>
      <c r="E33" s="69"/>
      <c r="M33" s="50"/>
      <c r="N33" s="50"/>
      <c r="O33" s="65"/>
      <c r="P33" s="50"/>
    </row>
    <row r="34" spans="1:16" ht="16.5" thickBot="1">
      <c r="A34" s="63">
        <f t="shared" si="1"/>
        <v>19</v>
      </c>
      <c r="C34" s="52" t="s">
        <v>68</v>
      </c>
      <c r="E34" s="74">
        <f>+E26+E29+E30</f>
        <v>3066734195.75</v>
      </c>
      <c r="I34" s="75">
        <f>+I26+I28</f>
        <v>157322311.32602441</v>
      </c>
      <c r="K34" s="76">
        <f>+I34/E34</f>
        <v>5.1299624057424935E-2</v>
      </c>
      <c r="O34" s="65"/>
    </row>
    <row r="35" spans="1:16" ht="15.75" thickTop="1">
      <c r="E35" s="50"/>
      <c r="O35" s="65"/>
    </row>
    <row r="37" spans="1:16">
      <c r="A37" s="63"/>
      <c r="C37" s="52"/>
    </row>
    <row r="38" spans="1:16">
      <c r="C38" s="52" t="s">
        <v>69</v>
      </c>
      <c r="E38" s="50"/>
    </row>
    <row r="39" spans="1:16">
      <c r="E39" s="50"/>
    </row>
    <row r="40" spans="1:16">
      <c r="E40" s="50"/>
      <c r="F40" s="50"/>
      <c r="G40" s="73"/>
      <c r="H40" s="51"/>
      <c r="I40" s="50"/>
      <c r="J40" s="50"/>
      <c r="K40" s="50"/>
      <c r="L40" s="50"/>
    </row>
    <row r="41" spans="1:16">
      <c r="E41" s="50"/>
    </row>
    <row r="42" spans="1:16">
      <c r="E42" s="50"/>
      <c r="F42" s="50"/>
      <c r="G42" s="50"/>
      <c r="H42" s="51"/>
      <c r="I42" s="50"/>
      <c r="J42" s="50"/>
      <c r="K42" s="50"/>
      <c r="L42" s="50"/>
    </row>
  </sheetData>
  <mergeCells count="4">
    <mergeCell ref="A1:K1"/>
    <mergeCell ref="A2:K2"/>
    <mergeCell ref="A3:K3"/>
    <mergeCell ref="A4:K4"/>
  </mergeCells>
  <printOptions horizontalCentered="1"/>
  <pageMargins left="0.75" right="0.42" top="1.24" bottom="1" header="0.5" footer="0.5"/>
  <pageSetup scale="79" orientation="portrait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view="pageBreakPreview" zoomScale="60" zoomScaleNormal="90" workbookViewId="0">
      <selection activeCell="Q15" sqref="Q15"/>
    </sheetView>
  </sheetViews>
  <sheetFormatPr defaultColWidth="10.109375" defaultRowHeight="15"/>
  <cols>
    <col min="1" max="1" width="5.77734375" style="1" customWidth="1"/>
    <col min="2" max="2" width="3.33203125" style="1" customWidth="1"/>
    <col min="3" max="3" width="14.44140625" style="1" customWidth="1"/>
    <col min="4" max="4" width="3.33203125" style="1" customWidth="1"/>
    <col min="5" max="5" width="6.6640625" style="1" customWidth="1"/>
    <col min="6" max="6" width="3.33203125" style="1" customWidth="1"/>
    <col min="7" max="7" width="11.88671875" style="1" customWidth="1"/>
    <col min="8" max="8" width="3.33203125" style="1" customWidth="1"/>
    <col min="9" max="9" width="13.5546875" style="1" customWidth="1"/>
    <col min="10" max="10" width="1.5546875" style="1" customWidth="1"/>
    <col min="11" max="11" width="8" style="1" customWidth="1"/>
    <col min="12" max="12" width="3.33203125" style="1" customWidth="1"/>
    <col min="13" max="13" width="11" style="1" customWidth="1"/>
    <col min="14" max="14" width="3.33203125" style="1" customWidth="1"/>
    <col min="15" max="15" width="11" style="1" customWidth="1"/>
    <col min="16" max="16" width="3.33203125" style="1" customWidth="1"/>
    <col min="17" max="17" width="12.6640625" style="1" customWidth="1"/>
    <col min="18" max="18" width="2.33203125" style="1" customWidth="1"/>
    <col min="19" max="19" width="12.6640625" style="1" customWidth="1"/>
    <col min="20" max="26" width="10.109375" style="1"/>
    <col min="27" max="27" width="12.6640625" style="1" customWidth="1"/>
    <col min="28" max="16384" width="10.109375" style="1"/>
  </cols>
  <sheetData>
    <row r="1" spans="1:19">
      <c r="A1" s="26"/>
      <c r="J1" s="10" t="s">
        <v>120</v>
      </c>
    </row>
    <row r="2" spans="1:19">
      <c r="J2" s="10" t="s">
        <v>121</v>
      </c>
    </row>
    <row r="3" spans="1:19">
      <c r="A3" s="77"/>
      <c r="J3" s="10" t="s">
        <v>70</v>
      </c>
    </row>
    <row r="4" spans="1:19">
      <c r="A4" s="77"/>
      <c r="J4" s="10"/>
    </row>
    <row r="5" spans="1:19">
      <c r="Q5" s="78"/>
      <c r="S5" s="78" t="s">
        <v>1</v>
      </c>
    </row>
    <row r="6" spans="1:19">
      <c r="A6" s="3" t="s">
        <v>71</v>
      </c>
      <c r="Q6" s="3"/>
      <c r="S6" s="4" t="s">
        <v>72</v>
      </c>
    </row>
    <row r="7" spans="1:19">
      <c r="A7" s="3" t="s">
        <v>73</v>
      </c>
      <c r="Q7" s="3"/>
      <c r="S7" s="4" t="s">
        <v>5</v>
      </c>
    </row>
    <row r="8" spans="1:19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7"/>
      <c r="S8" s="8" t="str">
        <f>'J-1 Base'!$M$9</f>
        <v>Witness:  Christian</v>
      </c>
    </row>
    <row r="10" spans="1:19">
      <c r="I10" s="10" t="s">
        <v>74</v>
      </c>
      <c r="M10" s="10" t="s">
        <v>75</v>
      </c>
    </row>
    <row r="11" spans="1:19">
      <c r="A11" s="10" t="s">
        <v>8</v>
      </c>
      <c r="C11" s="10" t="s">
        <v>76</v>
      </c>
      <c r="E11" s="10" t="s">
        <v>77</v>
      </c>
      <c r="G11" s="10" t="s">
        <v>15</v>
      </c>
      <c r="I11" s="10" t="s">
        <v>78</v>
      </c>
      <c r="K11" s="10" t="s">
        <v>41</v>
      </c>
      <c r="M11" s="10" t="s">
        <v>79</v>
      </c>
      <c r="O11" s="10" t="s">
        <v>80</v>
      </c>
      <c r="Q11" s="10" t="s">
        <v>17</v>
      </c>
      <c r="S11" s="10" t="s">
        <v>81</v>
      </c>
    </row>
    <row r="12" spans="1:19">
      <c r="A12" s="10" t="s">
        <v>12</v>
      </c>
      <c r="C12" s="10" t="s">
        <v>82</v>
      </c>
      <c r="E12" s="10" t="s">
        <v>83</v>
      </c>
      <c r="G12" s="10" t="s">
        <v>42</v>
      </c>
      <c r="I12" s="10" t="s">
        <v>84</v>
      </c>
      <c r="K12" s="10" t="s">
        <v>85</v>
      </c>
      <c r="L12" s="9"/>
      <c r="M12" s="10" t="s">
        <v>86</v>
      </c>
      <c r="O12" s="10" t="s">
        <v>87</v>
      </c>
      <c r="Q12" s="10" t="s">
        <v>88</v>
      </c>
      <c r="S12" s="10" t="s">
        <v>89</v>
      </c>
    </row>
    <row r="13" spans="1:19">
      <c r="A13" s="7"/>
      <c r="B13" s="7"/>
      <c r="C13" s="7"/>
      <c r="D13" s="7"/>
      <c r="E13" s="11" t="s">
        <v>19</v>
      </c>
      <c r="F13" s="7"/>
      <c r="G13" s="11" t="s">
        <v>20</v>
      </c>
      <c r="H13" s="7"/>
      <c r="I13" s="11" t="s">
        <v>21</v>
      </c>
      <c r="J13" s="7"/>
      <c r="K13" s="11" t="s">
        <v>22</v>
      </c>
      <c r="L13" s="7"/>
      <c r="M13" s="11" t="s">
        <v>23</v>
      </c>
      <c r="N13" s="7"/>
      <c r="O13" s="11" t="s">
        <v>90</v>
      </c>
      <c r="P13" s="7"/>
      <c r="Q13" s="11" t="s">
        <v>91</v>
      </c>
      <c r="R13" s="7"/>
      <c r="S13" s="11" t="s">
        <v>92</v>
      </c>
    </row>
    <row r="15" spans="1:19">
      <c r="F15" s="12"/>
      <c r="G15" s="12"/>
      <c r="H15" s="15"/>
      <c r="I15" s="13"/>
      <c r="J15" s="13"/>
      <c r="K15" s="16" t="s">
        <v>93</v>
      </c>
      <c r="L15" s="12"/>
      <c r="M15" s="12"/>
      <c r="N15" s="12"/>
      <c r="O15" s="12"/>
      <c r="P15" s="12"/>
      <c r="Q15" s="12"/>
    </row>
    <row r="16" spans="1:19">
      <c r="F16" s="12"/>
      <c r="G16" s="12"/>
      <c r="H16" s="12"/>
      <c r="I16" s="13"/>
      <c r="J16" s="12"/>
      <c r="K16" s="12"/>
      <c r="L16" s="12"/>
      <c r="M16" s="12"/>
      <c r="N16" s="12"/>
      <c r="O16" s="12"/>
      <c r="P16" s="12"/>
      <c r="Q16" s="12"/>
    </row>
    <row r="17" spans="6:17">
      <c r="F17" s="12"/>
      <c r="G17" s="12"/>
      <c r="H17" s="15"/>
      <c r="I17" s="13"/>
      <c r="J17" s="13"/>
      <c r="K17" s="12"/>
      <c r="L17" s="12"/>
      <c r="M17" s="12"/>
      <c r="N17" s="12"/>
      <c r="O17" s="12"/>
      <c r="P17" s="12"/>
      <c r="Q17" s="12"/>
    </row>
  </sheetData>
  <printOptions horizontalCentered="1"/>
  <pageMargins left="0.66" right="0.71" top="0.91" bottom="1" header="0.5" footer="0.5"/>
  <pageSetup scale="76" orientation="landscape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view="pageBreakPreview" zoomScale="60" zoomScaleNormal="80" workbookViewId="0">
      <pane xSplit="5" ySplit="15" topLeftCell="F16" activePane="bottomRight" state="frozen"/>
      <selection activeCell="Q15" sqref="Q15"/>
      <selection pane="topRight" activeCell="Q15" sqref="Q15"/>
      <selection pane="bottomLeft" activeCell="Q15" sqref="Q15"/>
      <selection pane="bottomRight" activeCell="Q15" sqref="Q15"/>
    </sheetView>
  </sheetViews>
  <sheetFormatPr defaultColWidth="10.109375" defaultRowHeight="15"/>
  <cols>
    <col min="1" max="1" width="3.77734375" style="47" customWidth="1"/>
    <col min="2" max="2" width="2.44140625" style="47" customWidth="1"/>
    <col min="3" max="3" width="13" style="47" customWidth="1"/>
    <col min="4" max="4" width="2.109375" style="47" customWidth="1"/>
    <col min="5" max="5" width="2.44140625" style="47" customWidth="1"/>
    <col min="6" max="6" width="6.77734375" style="47" customWidth="1"/>
    <col min="7" max="7" width="2.44140625" style="47" customWidth="1"/>
    <col min="8" max="8" width="14" style="47" customWidth="1"/>
    <col min="9" max="9" width="2.44140625" style="47" customWidth="1"/>
    <col min="10" max="10" width="8.33203125" style="47" customWidth="1"/>
    <col min="11" max="11" width="2.44140625" style="47" customWidth="1"/>
    <col min="12" max="12" width="8" style="47" customWidth="1"/>
    <col min="13" max="13" width="2.44140625" style="47" customWidth="1"/>
    <col min="14" max="14" width="8.6640625" style="47" customWidth="1"/>
    <col min="15" max="15" width="2.44140625" style="47" customWidth="1"/>
    <col min="16" max="16" width="13.6640625" style="47" customWidth="1"/>
    <col min="17" max="17" width="2.44140625" style="47" customWidth="1"/>
    <col min="18" max="18" width="11.33203125" style="47" customWidth="1"/>
    <col min="19" max="19" width="1.88671875" style="47" customWidth="1"/>
    <col min="20" max="20" width="9.33203125" style="47" customWidth="1"/>
    <col min="21" max="21" width="2.44140625" style="47" customWidth="1"/>
    <col min="22" max="22" width="8.44140625" style="47" customWidth="1"/>
    <col min="23" max="23" width="6.77734375" style="47" bestFit="1" customWidth="1"/>
    <col min="24" max="24" width="9.44140625" style="47" bestFit="1" customWidth="1"/>
    <col min="25" max="16384" width="10.109375" style="47"/>
  </cols>
  <sheetData>
    <row r="1" spans="1:23">
      <c r="A1" s="132" t="s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23">
      <c r="A2" s="132" t="s">
        <v>121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3">
      <c r="A3" s="132" t="s">
        <v>94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3">
      <c r="A4" s="132" t="s">
        <v>122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3">
      <c r="A5" s="132" t="s">
        <v>123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3">
      <c r="L6" s="63"/>
    </row>
    <row r="8" spans="1:23">
      <c r="A8" s="52" t="s">
        <v>95</v>
      </c>
      <c r="V8" s="53" t="s">
        <v>1</v>
      </c>
    </row>
    <row r="9" spans="1:23">
      <c r="A9" s="52" t="s">
        <v>4</v>
      </c>
      <c r="T9" s="52"/>
      <c r="V9" s="54" t="s">
        <v>3</v>
      </c>
    </row>
    <row r="10" spans="1:23" ht="16.5" thickBot="1">
      <c r="A10" s="55" t="s">
        <v>6</v>
      </c>
      <c r="B10" s="56"/>
      <c r="C10" s="56"/>
      <c r="D10" s="56"/>
      <c r="E10" s="56"/>
      <c r="F10" s="56"/>
      <c r="G10" s="56"/>
      <c r="H10" s="60"/>
      <c r="I10" s="60"/>
      <c r="J10" s="60"/>
      <c r="K10" s="60"/>
      <c r="L10" s="60"/>
      <c r="M10" s="60"/>
      <c r="N10" s="79" t="s">
        <v>96</v>
      </c>
      <c r="O10" s="80"/>
      <c r="P10" s="80"/>
      <c r="Q10" s="60"/>
      <c r="R10" s="60"/>
      <c r="S10" s="60"/>
      <c r="T10" s="55"/>
      <c r="U10" s="60"/>
      <c r="V10" s="58" t="str">
        <f>'J-1 Base'!$M$9</f>
        <v>Witness:  Christian</v>
      </c>
      <c r="W10" s="56"/>
    </row>
    <row r="11" spans="1:23" ht="15.75">
      <c r="H11" s="81" t="s">
        <v>97</v>
      </c>
      <c r="I11" s="82"/>
      <c r="J11" s="82"/>
      <c r="K11" s="82"/>
      <c r="L11" s="82"/>
      <c r="M11" s="82"/>
      <c r="N11" s="83"/>
      <c r="P11" s="81" t="s">
        <v>98</v>
      </c>
      <c r="Q11" s="82"/>
      <c r="R11" s="82"/>
      <c r="S11" s="82"/>
      <c r="T11" s="82"/>
      <c r="U11" s="82"/>
      <c r="V11" s="83"/>
      <c r="W11" s="84"/>
    </row>
    <row r="12" spans="1:23">
      <c r="A12" s="63" t="s">
        <v>8</v>
      </c>
      <c r="F12" s="63" t="s">
        <v>9</v>
      </c>
      <c r="H12" s="85"/>
      <c r="I12" s="60"/>
      <c r="J12" s="86" t="s">
        <v>10</v>
      </c>
      <c r="K12" s="60"/>
      <c r="L12" s="60"/>
      <c r="M12" s="60"/>
      <c r="N12" s="87" t="s">
        <v>11</v>
      </c>
      <c r="P12" s="85"/>
      <c r="Q12" s="60"/>
      <c r="R12" s="86" t="s">
        <v>10</v>
      </c>
      <c r="S12" s="60"/>
      <c r="T12" s="60"/>
      <c r="U12" s="60"/>
      <c r="V12" s="87" t="s">
        <v>11</v>
      </c>
    </row>
    <row r="13" spans="1:23" ht="15.75" thickBot="1">
      <c r="A13" s="64" t="s">
        <v>12</v>
      </c>
      <c r="B13" s="56"/>
      <c r="C13" s="55" t="s">
        <v>13</v>
      </c>
      <c r="D13" s="56"/>
      <c r="E13" s="56"/>
      <c r="F13" s="64" t="s">
        <v>14</v>
      </c>
      <c r="G13" s="56"/>
      <c r="H13" s="88" t="s">
        <v>15</v>
      </c>
      <c r="I13" s="89"/>
      <c r="J13" s="90" t="s">
        <v>16</v>
      </c>
      <c r="K13" s="89"/>
      <c r="L13" s="90" t="s">
        <v>17</v>
      </c>
      <c r="M13" s="89"/>
      <c r="N13" s="91" t="s">
        <v>18</v>
      </c>
      <c r="O13" s="60"/>
      <c r="P13" s="88" t="s">
        <v>15</v>
      </c>
      <c r="Q13" s="89"/>
      <c r="R13" s="90" t="s">
        <v>16</v>
      </c>
      <c r="S13" s="89"/>
      <c r="T13" s="90" t="s">
        <v>17</v>
      </c>
      <c r="U13" s="89"/>
      <c r="V13" s="91" t="s">
        <v>18</v>
      </c>
      <c r="W13" s="56"/>
    </row>
    <row r="14" spans="1:23">
      <c r="F14" s="63" t="s">
        <v>19</v>
      </c>
      <c r="H14" s="63" t="s">
        <v>20</v>
      </c>
      <c r="J14" s="63" t="s">
        <v>21</v>
      </c>
      <c r="L14" s="63" t="s">
        <v>22</v>
      </c>
      <c r="N14" s="63" t="s">
        <v>23</v>
      </c>
      <c r="O14" s="60"/>
      <c r="P14" s="63" t="s">
        <v>99</v>
      </c>
      <c r="R14" s="63" t="s">
        <v>91</v>
      </c>
      <c r="T14" s="63" t="s">
        <v>100</v>
      </c>
      <c r="V14" s="63" t="s">
        <v>101</v>
      </c>
    </row>
    <row r="15" spans="1:23">
      <c r="H15" s="63" t="s">
        <v>24</v>
      </c>
      <c r="J15" s="63" t="s">
        <v>25</v>
      </c>
      <c r="L15" s="63" t="s">
        <v>25</v>
      </c>
      <c r="N15" s="63" t="s">
        <v>25</v>
      </c>
      <c r="P15" s="63" t="s">
        <v>24</v>
      </c>
      <c r="R15" s="63" t="s">
        <v>25</v>
      </c>
      <c r="T15" s="63" t="s">
        <v>25</v>
      </c>
      <c r="V15" s="63" t="s">
        <v>25</v>
      </c>
    </row>
    <row r="17" spans="1:24">
      <c r="A17" s="63" t="s">
        <v>45</v>
      </c>
      <c r="C17" s="52" t="s">
        <v>27</v>
      </c>
      <c r="F17" s="50"/>
      <c r="G17" s="50"/>
      <c r="H17" s="50">
        <f>+'J-2 B'!F20</f>
        <v>242504.31246159747</v>
      </c>
      <c r="I17" s="50"/>
      <c r="J17" s="68">
        <f>ROUND(H17/$H$29,4)</f>
        <v>3.3599999999999998E-2</v>
      </c>
      <c r="K17" s="50"/>
      <c r="L17" s="92">
        <f>+'J-2 B'!L20</f>
        <v>1.9898265289283203E-2</v>
      </c>
      <c r="M17" s="50"/>
      <c r="N17" s="92">
        <f>+J17*L17</f>
        <v>6.6858171371991554E-4</v>
      </c>
      <c r="O17" s="50"/>
      <c r="P17" s="50">
        <f>+'J-2 F'!F20</f>
        <v>242504.31246159747</v>
      </c>
      <c r="Q17" s="50"/>
      <c r="R17" s="68">
        <f>ROUND(P17/$P$29,4)</f>
        <v>3.4799999999999998E-2</v>
      </c>
      <c r="S17" s="50"/>
      <c r="T17" s="92">
        <f>ROUND(+'J-2 F'!L20,4)</f>
        <v>1.9900000000000001E-2</v>
      </c>
      <c r="U17" s="68"/>
      <c r="V17" s="92">
        <f>ROUND(R17*T17,4)</f>
        <v>6.9999999999999999E-4</v>
      </c>
      <c r="W17" s="93"/>
      <c r="X17" s="93"/>
    </row>
    <row r="18" spans="1:24">
      <c r="F18" s="50"/>
      <c r="G18" s="50"/>
      <c r="H18" s="50"/>
      <c r="I18" s="50"/>
      <c r="J18" s="50"/>
      <c r="K18" s="50"/>
      <c r="L18" s="92"/>
      <c r="M18" s="50"/>
      <c r="N18" s="92"/>
      <c r="O18" s="50"/>
      <c r="P18" s="50"/>
      <c r="Q18" s="50"/>
      <c r="R18" s="68"/>
      <c r="S18" s="50"/>
      <c r="T18" s="92"/>
      <c r="U18" s="68"/>
      <c r="V18" s="92"/>
      <c r="W18" s="93"/>
    </row>
    <row r="19" spans="1:24">
      <c r="A19" s="63" t="s">
        <v>102</v>
      </c>
      <c r="C19" s="52" t="s">
        <v>29</v>
      </c>
      <c r="F19" s="50"/>
      <c r="G19" s="50"/>
      <c r="H19" s="94">
        <f>'J-1 Base'!G21</f>
        <v>3066734.19575</v>
      </c>
      <c r="I19" s="50"/>
      <c r="J19" s="95">
        <f>ROUND(H19/$H$29,5)</f>
        <v>0.42529</v>
      </c>
      <c r="K19" s="50"/>
      <c r="L19" s="92">
        <f>ROUND('J-3 B'!K34,4)</f>
        <v>5.1299999999999998E-2</v>
      </c>
      <c r="M19" s="50"/>
      <c r="N19" s="96">
        <f>+J19*L19</f>
        <v>2.1817376999999999E-2</v>
      </c>
      <c r="O19" s="50"/>
      <c r="P19" s="94">
        <f>+'J-3 F'!E34*0.001</f>
        <v>3066734.19575</v>
      </c>
      <c r="Q19" s="50"/>
      <c r="R19" s="95">
        <f>ROUND(P19/$P$29,4)</f>
        <v>0.4395</v>
      </c>
      <c r="S19" s="50"/>
      <c r="T19" s="92">
        <f>ROUND('J-3 F'!K34,4)</f>
        <v>5.11E-2</v>
      </c>
      <c r="U19" s="68"/>
      <c r="V19" s="96">
        <f>+R19*T19</f>
        <v>2.2458450000000001E-2</v>
      </c>
      <c r="W19" s="93"/>
      <c r="X19" s="93"/>
    </row>
    <row r="20" spans="1:24">
      <c r="F20" s="50"/>
      <c r="G20" s="50"/>
      <c r="H20" s="50"/>
      <c r="I20" s="50"/>
      <c r="J20" s="50"/>
      <c r="K20" s="50"/>
      <c r="L20" s="92"/>
      <c r="M20" s="50"/>
      <c r="N20" s="92"/>
      <c r="O20" s="50"/>
      <c r="P20" s="50"/>
      <c r="Q20" s="50"/>
      <c r="R20" s="50"/>
      <c r="S20" s="50"/>
      <c r="T20" s="92"/>
      <c r="U20" s="68"/>
      <c r="V20" s="92"/>
      <c r="W20" s="93"/>
    </row>
    <row r="21" spans="1:24">
      <c r="A21" s="63" t="s">
        <v>103</v>
      </c>
      <c r="C21" s="52" t="s">
        <v>104</v>
      </c>
      <c r="F21" s="50"/>
      <c r="G21" s="50"/>
      <c r="H21" s="50">
        <f>H17+H19</f>
        <v>3309238.5082115973</v>
      </c>
      <c r="I21" s="50"/>
      <c r="J21" s="68">
        <f>J17+J19</f>
        <v>0.45889000000000002</v>
      </c>
      <c r="K21" s="50"/>
      <c r="L21" s="92"/>
      <c r="M21" s="50"/>
      <c r="N21" s="92">
        <f>N17+N19</f>
        <v>2.2485958713719913E-2</v>
      </c>
      <c r="O21" s="50"/>
      <c r="P21" s="50">
        <f>P17+P19</f>
        <v>3309238.5082115973</v>
      </c>
      <c r="Q21" s="50"/>
      <c r="R21" s="68">
        <f>R17+R19</f>
        <v>0.4743</v>
      </c>
      <c r="S21" s="50"/>
      <c r="T21" s="92"/>
      <c r="U21" s="68"/>
      <c r="V21" s="92">
        <f>V17+V19</f>
        <v>2.3158450000000001E-2</v>
      </c>
      <c r="W21" s="93"/>
      <c r="X21" s="50"/>
    </row>
    <row r="22" spans="1:24">
      <c r="F22" s="50"/>
      <c r="G22" s="50"/>
      <c r="H22" s="50"/>
      <c r="I22" s="50"/>
      <c r="J22" s="50"/>
      <c r="K22" s="50"/>
      <c r="L22" s="92"/>
      <c r="M22" s="50"/>
      <c r="N22" s="92"/>
      <c r="O22" s="50"/>
      <c r="P22" s="50"/>
      <c r="Q22" s="50"/>
      <c r="R22" s="50"/>
      <c r="S22" s="50"/>
      <c r="T22" s="92"/>
      <c r="U22" s="68"/>
      <c r="V22" s="92"/>
      <c r="W22" s="93"/>
    </row>
    <row r="23" spans="1:24">
      <c r="A23" s="63" t="s">
        <v>105</v>
      </c>
      <c r="C23" s="52" t="s">
        <v>30</v>
      </c>
      <c r="F23" s="50"/>
      <c r="G23" s="50"/>
      <c r="H23" s="50">
        <v>0</v>
      </c>
      <c r="I23" s="50"/>
      <c r="J23" s="68">
        <f>ROUND(H23/$H$29,4)</f>
        <v>0</v>
      </c>
      <c r="K23" s="50"/>
      <c r="L23" s="92">
        <v>0</v>
      </c>
      <c r="M23" s="50"/>
      <c r="N23" s="92">
        <f>+J23*L23</f>
        <v>0</v>
      </c>
      <c r="O23" s="50"/>
      <c r="P23" s="50">
        <v>0</v>
      </c>
      <c r="Q23" s="50"/>
      <c r="R23" s="68">
        <f>ROUND(P23/$P$29,4)</f>
        <v>0</v>
      </c>
      <c r="S23" s="50"/>
      <c r="T23" s="92">
        <v>0</v>
      </c>
      <c r="U23" s="68"/>
      <c r="V23" s="92">
        <f>ROUND(R23*T23,4)</f>
        <v>0</v>
      </c>
      <c r="W23" s="93"/>
    </row>
    <row r="24" spans="1:24">
      <c r="H24" s="50"/>
      <c r="L24" s="92"/>
      <c r="N24" s="93"/>
      <c r="P24" s="50"/>
      <c r="T24" s="92"/>
      <c r="U24" s="97"/>
      <c r="V24" s="93"/>
      <c r="W24" s="93"/>
    </row>
    <row r="25" spans="1:24">
      <c r="A25" s="63" t="s">
        <v>106</v>
      </c>
      <c r="C25" s="52" t="s">
        <v>32</v>
      </c>
      <c r="H25" s="50">
        <v>3901710.1031300002</v>
      </c>
      <c r="J25" s="68">
        <f>ROUND(H25/$H$29,5)</f>
        <v>0.54108000000000001</v>
      </c>
      <c r="L25" s="92">
        <v>0.10299999999999999</v>
      </c>
      <c r="N25" s="92">
        <f>+J25*L25</f>
        <v>5.5731239999999994E-2</v>
      </c>
      <c r="P25" s="50">
        <v>3668227.0974676916</v>
      </c>
      <c r="R25" s="68">
        <f>+ROUND(P25/P29,5)</f>
        <v>0.52571999999999997</v>
      </c>
      <c r="T25" s="92">
        <f>L25</f>
        <v>0.10299999999999999</v>
      </c>
      <c r="U25" s="97"/>
      <c r="V25" s="92">
        <f>ROUND(R25*T25,4)</f>
        <v>5.4100000000000002E-2</v>
      </c>
      <c r="W25" s="93"/>
      <c r="X25" s="93"/>
    </row>
    <row r="26" spans="1:24">
      <c r="H26" s="50"/>
      <c r="L26" s="92"/>
      <c r="N26" s="93"/>
      <c r="P26" s="50"/>
      <c r="T26" s="92"/>
      <c r="U26" s="97"/>
      <c r="V26" s="93"/>
      <c r="W26" s="93"/>
    </row>
    <row r="27" spans="1:24">
      <c r="A27" s="63" t="s">
        <v>107</v>
      </c>
      <c r="C27" s="52" t="s">
        <v>108</v>
      </c>
      <c r="H27" s="94">
        <v>0</v>
      </c>
      <c r="J27" s="98">
        <f>ROUND(H27/$H$29,4)</f>
        <v>0</v>
      </c>
      <c r="L27" s="92">
        <v>0</v>
      </c>
      <c r="N27" s="96">
        <f>+J27*L27</f>
        <v>0</v>
      </c>
      <c r="P27" s="94">
        <v>0</v>
      </c>
      <c r="R27" s="98">
        <f>ROUND(P27/$H$29,4)</f>
        <v>0</v>
      </c>
      <c r="T27" s="92">
        <v>0</v>
      </c>
      <c r="U27" s="97"/>
      <c r="V27" s="99">
        <f>ROUND(R27*T27,4)</f>
        <v>0</v>
      </c>
      <c r="W27" s="93"/>
    </row>
    <row r="28" spans="1:24">
      <c r="H28" s="50"/>
      <c r="L28" s="92"/>
      <c r="P28" s="50"/>
      <c r="T28" s="68"/>
      <c r="U28" s="97"/>
      <c r="V28" s="97"/>
      <c r="W28" s="97"/>
    </row>
    <row r="29" spans="1:24" ht="15.75" thickBot="1">
      <c r="A29" s="63" t="s">
        <v>109</v>
      </c>
      <c r="C29" s="52" t="s">
        <v>33</v>
      </c>
      <c r="H29" s="100">
        <f>H21+H25+H27</f>
        <v>7210948.6113415975</v>
      </c>
      <c r="J29" s="101">
        <f>SUM(J21:J27)</f>
        <v>0.99997000000000003</v>
      </c>
      <c r="L29" s="51"/>
      <c r="N29" s="102">
        <f>SUM(N21:N27)</f>
        <v>7.8217198713719904E-2</v>
      </c>
      <c r="P29" s="100">
        <f>SUM(P21:P27)</f>
        <v>6977465.6056792885</v>
      </c>
      <c r="R29" s="101">
        <f>SUM(R21:R27)</f>
        <v>1.0000199999999999</v>
      </c>
      <c r="T29" s="68"/>
      <c r="U29" s="97"/>
      <c r="V29" s="102">
        <f>SUM(V21:V27)</f>
        <v>7.7258450000000006E-2</v>
      </c>
      <c r="W29" s="93"/>
      <c r="X29" s="102"/>
    </row>
    <row r="30" spans="1:24" ht="15.75" thickTop="1">
      <c r="H30" s="50"/>
      <c r="P30" s="50"/>
      <c r="T30" s="97"/>
      <c r="U30" s="97"/>
      <c r="V30" s="97"/>
    </row>
    <row r="35" spans="1:22" ht="16.5" thickBot="1">
      <c r="A35" s="57"/>
      <c r="B35" s="57"/>
      <c r="C35" s="57"/>
      <c r="D35" s="57"/>
      <c r="E35" s="57"/>
      <c r="F35" s="57"/>
      <c r="G35" s="57"/>
      <c r="N35" s="79" t="s">
        <v>110</v>
      </c>
      <c r="O35" s="80"/>
      <c r="P35" s="80"/>
    </row>
    <row r="36" spans="1:22" ht="15.75">
      <c r="H36" s="81" t="s">
        <v>97</v>
      </c>
      <c r="I36" s="82"/>
      <c r="J36" s="82"/>
      <c r="K36" s="82"/>
      <c r="L36" s="82"/>
      <c r="M36" s="82"/>
      <c r="N36" s="83"/>
      <c r="P36" s="81" t="s">
        <v>98</v>
      </c>
      <c r="Q36" s="82"/>
      <c r="R36" s="82"/>
      <c r="S36" s="82"/>
      <c r="T36" s="82"/>
      <c r="U36" s="82"/>
      <c r="V36" s="83"/>
    </row>
    <row r="37" spans="1:22">
      <c r="A37" s="63" t="s">
        <v>8</v>
      </c>
      <c r="F37" s="63" t="s">
        <v>9</v>
      </c>
      <c r="H37" s="85"/>
      <c r="I37" s="60"/>
      <c r="J37" s="86" t="s">
        <v>10</v>
      </c>
      <c r="K37" s="60"/>
      <c r="L37" s="60"/>
      <c r="M37" s="60"/>
      <c r="N37" s="87" t="s">
        <v>11</v>
      </c>
      <c r="P37" s="85"/>
      <c r="Q37" s="60"/>
      <c r="R37" s="86" t="s">
        <v>10</v>
      </c>
      <c r="S37" s="60"/>
      <c r="T37" s="60"/>
      <c r="U37" s="60"/>
      <c r="V37" s="87" t="s">
        <v>11</v>
      </c>
    </row>
    <row r="38" spans="1:22" ht="15.75" thickBot="1">
      <c r="A38" s="64" t="s">
        <v>12</v>
      </c>
      <c r="B38" s="56"/>
      <c r="C38" s="55" t="s">
        <v>13</v>
      </c>
      <c r="D38" s="56"/>
      <c r="E38" s="56"/>
      <c r="F38" s="64" t="s">
        <v>14</v>
      </c>
      <c r="G38" s="56"/>
      <c r="H38" s="88" t="s">
        <v>15</v>
      </c>
      <c r="I38" s="89"/>
      <c r="J38" s="90" t="s">
        <v>16</v>
      </c>
      <c r="K38" s="89"/>
      <c r="L38" s="90" t="s">
        <v>17</v>
      </c>
      <c r="M38" s="89"/>
      <c r="N38" s="91" t="s">
        <v>18</v>
      </c>
      <c r="O38" s="60"/>
      <c r="P38" s="88" t="s">
        <v>15</v>
      </c>
      <c r="Q38" s="89"/>
      <c r="R38" s="90" t="s">
        <v>16</v>
      </c>
      <c r="S38" s="89"/>
      <c r="T38" s="90" t="s">
        <v>17</v>
      </c>
      <c r="U38" s="89"/>
      <c r="V38" s="91" t="s">
        <v>18</v>
      </c>
    </row>
    <row r="39" spans="1:22">
      <c r="F39" s="63" t="s">
        <v>19</v>
      </c>
      <c r="H39" s="63" t="s">
        <v>20</v>
      </c>
      <c r="J39" s="63" t="s">
        <v>21</v>
      </c>
      <c r="L39" s="63" t="s">
        <v>22</v>
      </c>
      <c r="N39" s="63" t="s">
        <v>23</v>
      </c>
      <c r="O39" s="60"/>
      <c r="P39" s="63" t="s">
        <v>99</v>
      </c>
      <c r="R39" s="63" t="s">
        <v>91</v>
      </c>
      <c r="T39" s="63" t="s">
        <v>100</v>
      </c>
      <c r="V39" s="63" t="s">
        <v>101</v>
      </c>
    </row>
    <row r="40" spans="1:22">
      <c r="H40" s="63" t="s">
        <v>24</v>
      </c>
      <c r="J40" s="63" t="s">
        <v>25</v>
      </c>
      <c r="L40" s="63" t="s">
        <v>25</v>
      </c>
      <c r="N40" s="63" t="s">
        <v>25</v>
      </c>
      <c r="P40" s="63" t="s">
        <v>24</v>
      </c>
      <c r="R40" s="63" t="s">
        <v>25</v>
      </c>
      <c r="T40" s="63" t="s">
        <v>25</v>
      </c>
      <c r="V40" s="63" t="s">
        <v>25</v>
      </c>
    </row>
    <row r="42" spans="1:22">
      <c r="A42" s="63">
        <v>8</v>
      </c>
      <c r="C42" s="52" t="s">
        <v>27</v>
      </c>
      <c r="F42" s="50"/>
      <c r="G42" s="50"/>
      <c r="H42" s="50">
        <f>+'J-2 B'!F20</f>
        <v>242504.31246159747</v>
      </c>
      <c r="I42" s="50"/>
      <c r="J42" s="68">
        <f>ROUND(H42/$H$54,4)</f>
        <v>3.3599999999999998E-2</v>
      </c>
      <c r="K42" s="50"/>
      <c r="L42" s="92">
        <f>+'J-2 B'!L20</f>
        <v>1.9898265289283203E-2</v>
      </c>
      <c r="M42" s="50"/>
      <c r="N42" s="92">
        <f>+J42*L42</f>
        <v>6.6858171371991554E-4</v>
      </c>
      <c r="O42" s="50"/>
      <c r="P42" s="50">
        <f>+'J-2 F'!F20</f>
        <v>242504.31246159747</v>
      </c>
      <c r="Q42" s="50"/>
      <c r="R42" s="68">
        <f>ROUND(P42/$P$54,4)</f>
        <v>3.4799999999999998E-2</v>
      </c>
      <c r="S42" s="50"/>
      <c r="T42" s="92">
        <f>ROUND(+'J-2 F'!L20,4)</f>
        <v>1.9900000000000001E-2</v>
      </c>
      <c r="U42" s="68"/>
      <c r="V42" s="92">
        <f>ROUND(R42*T42,4)</f>
        <v>6.9999999999999999E-4</v>
      </c>
    </row>
    <row r="43" spans="1:22">
      <c r="F43" s="50"/>
      <c r="G43" s="50"/>
      <c r="H43" s="50"/>
      <c r="I43" s="50"/>
      <c r="J43" s="50"/>
      <c r="K43" s="50"/>
      <c r="L43" s="92"/>
      <c r="M43" s="50"/>
      <c r="N43" s="92"/>
      <c r="O43" s="50"/>
      <c r="P43" s="50"/>
      <c r="Q43" s="50"/>
      <c r="R43" s="68"/>
      <c r="S43" s="50"/>
      <c r="T43" s="92"/>
      <c r="U43" s="68"/>
      <c r="V43" s="92"/>
    </row>
    <row r="44" spans="1:22">
      <c r="A44" s="63">
        <v>9</v>
      </c>
      <c r="C44" s="52" t="s">
        <v>29</v>
      </c>
      <c r="F44" s="50"/>
      <c r="G44" s="50"/>
      <c r="H44" s="94">
        <f>H19</f>
        <v>3066734.19575</v>
      </c>
      <c r="I44" s="50"/>
      <c r="J44" s="95">
        <f>ROUND(H44/$H$54,5)</f>
        <v>0.42529</v>
      </c>
      <c r="K44" s="50"/>
      <c r="L44" s="92">
        <f>ROUND('J-3 B'!K34,4)</f>
        <v>5.1299999999999998E-2</v>
      </c>
      <c r="M44" s="50"/>
      <c r="N44" s="96">
        <f>+J44*L44</f>
        <v>2.1817376999999999E-2</v>
      </c>
      <c r="O44" s="50"/>
      <c r="P44" s="94">
        <f>+'J-3 F'!E34*0.001</f>
        <v>3066734.19575</v>
      </c>
      <c r="Q44" s="50"/>
      <c r="R44" s="95">
        <f>ROUND(P44/$P$54,4)</f>
        <v>0.4395</v>
      </c>
      <c r="S44" s="50"/>
      <c r="T44" s="92">
        <f>ROUND('J-3 F'!K34,4)</f>
        <v>5.11E-2</v>
      </c>
      <c r="U44" s="68"/>
      <c r="V44" s="99">
        <f>ROUND(R44*T44,4)</f>
        <v>2.2499999999999999E-2</v>
      </c>
    </row>
    <row r="45" spans="1:22">
      <c r="F45" s="50"/>
      <c r="G45" s="50"/>
      <c r="H45" s="50"/>
      <c r="I45" s="50"/>
      <c r="J45" s="50"/>
      <c r="K45" s="50"/>
      <c r="L45" s="92"/>
      <c r="M45" s="50"/>
      <c r="N45" s="92"/>
      <c r="O45" s="50"/>
      <c r="P45" s="50"/>
      <c r="Q45" s="50"/>
      <c r="R45" s="50"/>
      <c r="S45" s="50"/>
      <c r="T45" s="92"/>
      <c r="U45" s="68"/>
      <c r="V45" s="92"/>
    </row>
    <row r="46" spans="1:22">
      <c r="A46" s="63">
        <v>10</v>
      </c>
      <c r="C46" s="52" t="s">
        <v>104</v>
      </c>
      <c r="F46" s="50"/>
      <c r="G46" s="50"/>
      <c r="H46" s="50">
        <f>H42+H44</f>
        <v>3309238.5082115973</v>
      </c>
      <c r="I46" s="50"/>
      <c r="J46" s="68">
        <f>J42+J44</f>
        <v>0.45889000000000002</v>
      </c>
      <c r="K46" s="50"/>
      <c r="L46" s="92"/>
      <c r="M46" s="50"/>
      <c r="N46" s="92">
        <f>N42+N44</f>
        <v>2.2485958713719913E-2</v>
      </c>
      <c r="O46" s="50"/>
      <c r="P46" s="50">
        <f>P42+P44</f>
        <v>3309238.5082115973</v>
      </c>
      <c r="Q46" s="50"/>
      <c r="R46" s="68">
        <f>R42+R44</f>
        <v>0.4743</v>
      </c>
      <c r="S46" s="50"/>
      <c r="T46" s="92"/>
      <c r="U46" s="68"/>
      <c r="V46" s="92">
        <f>V42+V44</f>
        <v>2.3199999999999998E-2</v>
      </c>
    </row>
    <row r="47" spans="1:22">
      <c r="F47" s="50"/>
      <c r="G47" s="50"/>
      <c r="H47" s="50"/>
      <c r="I47" s="50"/>
      <c r="J47" s="50"/>
      <c r="K47" s="50"/>
      <c r="L47" s="92"/>
      <c r="M47" s="50"/>
      <c r="N47" s="92"/>
      <c r="O47" s="50"/>
      <c r="P47" s="50"/>
      <c r="Q47" s="50"/>
      <c r="R47" s="50"/>
      <c r="S47" s="50"/>
      <c r="T47" s="92"/>
      <c r="U47" s="68"/>
      <c r="V47" s="92"/>
    </row>
    <row r="48" spans="1:22">
      <c r="A48" s="63">
        <v>11</v>
      </c>
      <c r="C48" s="52" t="s">
        <v>30</v>
      </c>
      <c r="F48" s="50"/>
      <c r="G48" s="50"/>
      <c r="H48" s="50">
        <v>0</v>
      </c>
      <c r="I48" s="50"/>
      <c r="J48" s="68">
        <f>ROUND(H48/$H$54,4)</f>
        <v>0</v>
      </c>
      <c r="K48" s="50"/>
      <c r="L48" s="92">
        <v>0</v>
      </c>
      <c r="M48" s="50"/>
      <c r="N48" s="92">
        <f>+J48*L48</f>
        <v>0</v>
      </c>
      <c r="O48" s="50"/>
      <c r="P48" s="50">
        <v>0</v>
      </c>
      <c r="Q48" s="50"/>
      <c r="R48" s="68">
        <f>ROUND(P48/$P$54,4)</f>
        <v>0</v>
      </c>
      <c r="S48" s="50"/>
      <c r="T48" s="92">
        <v>0</v>
      </c>
      <c r="U48" s="68"/>
      <c r="V48" s="92">
        <f>ROUND(R48*T48,4)</f>
        <v>0</v>
      </c>
    </row>
    <row r="49" spans="1:22">
      <c r="H49" s="50"/>
      <c r="L49" s="92"/>
      <c r="N49" s="93"/>
      <c r="P49" s="50"/>
      <c r="T49" s="92"/>
      <c r="U49" s="97"/>
      <c r="V49" s="93"/>
    </row>
    <row r="50" spans="1:22">
      <c r="A50" s="63">
        <v>12</v>
      </c>
      <c r="C50" s="52" t="s">
        <v>32</v>
      </c>
      <c r="H50" s="50">
        <f>H25</f>
        <v>3901710.1031300002</v>
      </c>
      <c r="J50" s="68">
        <f>ROUND(H50/$H$54,5)</f>
        <v>0.54108000000000001</v>
      </c>
      <c r="L50" s="92">
        <f>+N50/J50</f>
        <v>9.8343198459166836E-2</v>
      </c>
      <c r="N50" s="92">
        <f>+N54-N46</f>
        <v>5.3211537822285992E-2</v>
      </c>
      <c r="P50" s="50">
        <f>P25</f>
        <v>3668227.0974676916</v>
      </c>
      <c r="R50" s="68">
        <f>+ROUND(P50/P54,5)</f>
        <v>0.52571999999999997</v>
      </c>
      <c r="T50" s="92">
        <f>+V50/R50</f>
        <v>7.494483755611353E-2</v>
      </c>
      <c r="U50" s="97"/>
      <c r="V50" s="92">
        <f>+V54-V46</f>
        <v>3.9400000000000004E-2</v>
      </c>
    </row>
    <row r="51" spans="1:22">
      <c r="H51" s="50"/>
      <c r="L51" s="92"/>
      <c r="N51" s="93"/>
      <c r="P51" s="50"/>
      <c r="T51" s="92"/>
      <c r="U51" s="97"/>
      <c r="V51" s="93"/>
    </row>
    <row r="52" spans="1:22">
      <c r="A52" s="63">
        <v>13</v>
      </c>
      <c r="C52" s="52" t="s">
        <v>108</v>
      </c>
      <c r="H52" s="94">
        <v>0</v>
      </c>
      <c r="J52" s="98">
        <f>ROUND(H52/$H$29,4)</f>
        <v>0</v>
      </c>
      <c r="L52" s="92">
        <v>0</v>
      </c>
      <c r="N52" s="96">
        <f>+J52*L52</f>
        <v>0</v>
      </c>
      <c r="P52" s="94">
        <v>0</v>
      </c>
      <c r="R52" s="98">
        <f>ROUND(P52/$H$54,4)</f>
        <v>0</v>
      </c>
      <c r="T52" s="92">
        <v>0</v>
      </c>
      <c r="U52" s="97"/>
      <c r="V52" s="99">
        <f>ROUND(R52*T52,4)</f>
        <v>0</v>
      </c>
    </row>
    <row r="53" spans="1:22">
      <c r="H53" s="50"/>
      <c r="L53" s="92"/>
      <c r="P53" s="50"/>
      <c r="T53" s="68"/>
      <c r="U53" s="97"/>
      <c r="V53" s="97"/>
    </row>
    <row r="54" spans="1:22" ht="15.75" thickBot="1">
      <c r="A54" s="63">
        <v>14</v>
      </c>
      <c r="C54" s="52" t="s">
        <v>33</v>
      </c>
      <c r="H54" s="100">
        <f>H46+H50+H52</f>
        <v>7210948.6113415975</v>
      </c>
      <c r="J54" s="101">
        <f>SUM(J46:J52)</f>
        <v>0.99997000000000003</v>
      </c>
      <c r="L54" s="51"/>
      <c r="N54" s="102">
        <v>7.5697496536005909E-2</v>
      </c>
      <c r="P54" s="100">
        <f>SUM(P46:P52)</f>
        <v>6977465.6056792885</v>
      </c>
      <c r="R54" s="101">
        <f>SUM(R46:R52)</f>
        <v>1.0000199999999999</v>
      </c>
      <c r="T54" s="68"/>
      <c r="U54" s="97"/>
      <c r="V54" s="102">
        <v>6.2600000000000003E-2</v>
      </c>
    </row>
    <row r="55" spans="1:22" ht="15.75" thickTop="1">
      <c r="H55" s="50"/>
      <c r="P55" s="50"/>
      <c r="T55" s="97"/>
      <c r="U55" s="97"/>
      <c r="V55" s="97"/>
    </row>
    <row r="56" spans="1:22"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22">
      <c r="F57" s="50"/>
      <c r="G57" s="50"/>
      <c r="H57" s="50"/>
      <c r="I57" s="50"/>
      <c r="J57" s="68"/>
      <c r="K57" s="50"/>
      <c r="L57" s="51"/>
      <c r="M57" s="50"/>
      <c r="N57" s="51"/>
      <c r="O57" s="50"/>
      <c r="P57" s="50"/>
    </row>
    <row r="58" spans="1:22">
      <c r="F58" s="50"/>
      <c r="G58" s="50"/>
      <c r="H58" s="50"/>
      <c r="I58" s="50"/>
      <c r="J58" s="50"/>
      <c r="K58" s="50"/>
      <c r="L58" s="51"/>
      <c r="M58" s="50"/>
      <c r="N58" s="50"/>
      <c r="O58" s="50"/>
      <c r="P58" s="50"/>
    </row>
    <row r="59" spans="1:22">
      <c r="F59" s="50"/>
      <c r="G59" s="50"/>
      <c r="H59" s="50"/>
      <c r="I59" s="50"/>
      <c r="J59" s="68"/>
      <c r="K59" s="50"/>
      <c r="L59" s="51"/>
      <c r="M59" s="50"/>
      <c r="N59" s="51"/>
      <c r="O59" s="50"/>
      <c r="P59" s="50"/>
    </row>
    <row r="60" spans="1:22">
      <c r="F60" s="50"/>
      <c r="G60" s="50"/>
      <c r="H60" s="50"/>
      <c r="I60" s="50"/>
      <c r="J60" s="50"/>
      <c r="K60" s="50"/>
      <c r="L60" s="51"/>
      <c r="M60" s="50"/>
      <c r="N60" s="50"/>
      <c r="O60" s="50"/>
      <c r="P60" s="50"/>
    </row>
    <row r="61" spans="1:22">
      <c r="F61" s="50"/>
      <c r="G61" s="50"/>
      <c r="H61" s="50"/>
      <c r="I61" s="50"/>
      <c r="J61" s="68"/>
      <c r="K61" s="50"/>
      <c r="L61" s="51"/>
      <c r="M61" s="50"/>
      <c r="N61" s="51"/>
      <c r="O61" s="50"/>
      <c r="P61" s="50"/>
    </row>
    <row r="62" spans="1:22">
      <c r="F62" s="50"/>
      <c r="G62" s="50"/>
      <c r="H62" s="50"/>
      <c r="I62" s="50"/>
      <c r="J62" s="50"/>
      <c r="K62" s="50"/>
      <c r="L62" s="50"/>
      <c r="M62" s="50"/>
      <c r="N62" s="50"/>
      <c r="O62" s="50"/>
    </row>
  </sheetData>
  <mergeCells count="5">
    <mergeCell ref="A1:V1"/>
    <mergeCell ref="A2:V2"/>
    <mergeCell ref="A3:V3"/>
    <mergeCell ref="A4:V4"/>
    <mergeCell ref="A5:V5"/>
  </mergeCells>
  <printOptions horizontalCentered="1"/>
  <pageMargins left="0.74" right="0.43" top="0.91" bottom="1" header="0.5" footer="0.5"/>
  <pageSetup scale="59" orientation="portrait" verticalDpi="300" r:id="rId1"/>
  <headerFooter alignWithMargins="0">
    <oddHeader>&amp;R&amp;11CASE NO. 2017-00349
FR 16(8)(j)
ATTACHMENT 1</oddHeader>
    <oddFooter>&amp;RSchedule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view="pageBreakPreview" zoomScale="70" zoomScaleNormal="90" zoomScaleSheetLayoutView="70" workbookViewId="0">
      <selection activeCell="Q15" sqref="Q15"/>
    </sheetView>
  </sheetViews>
  <sheetFormatPr defaultColWidth="10.109375" defaultRowHeight="15"/>
  <cols>
    <col min="1" max="1" width="5" style="1" customWidth="1"/>
    <col min="2" max="2" width="4.77734375" style="1" customWidth="1"/>
    <col min="3" max="3" width="16.109375" style="1" customWidth="1"/>
    <col min="4" max="4" width="5" style="1" customWidth="1"/>
    <col min="5" max="5" width="11" style="1" customWidth="1"/>
    <col min="6" max="6" width="5" style="1" customWidth="1"/>
    <col min="7" max="7" width="16.21875" style="1" customWidth="1"/>
    <col min="8" max="8" width="5" style="1" customWidth="1"/>
    <col min="9" max="9" width="10.109375" style="1"/>
    <col min="10" max="10" width="5" style="1" customWidth="1"/>
    <col min="11" max="11" width="10.109375" style="1"/>
    <col min="12" max="12" width="5" style="1" customWidth="1"/>
    <col min="13" max="13" width="10.6640625" style="1" customWidth="1"/>
    <col min="14" max="14" width="6.6640625" style="1" customWidth="1"/>
    <col min="15" max="15" width="12.5546875" style="1" customWidth="1"/>
    <col min="16" max="16" width="2.44140625" style="1" customWidth="1"/>
    <col min="17" max="17" width="10.109375" style="1"/>
    <col min="18" max="18" width="2.44140625" style="1" customWidth="1"/>
    <col min="19" max="19" width="10.109375" style="1"/>
    <col min="20" max="20" width="2.44140625" style="1" customWidth="1"/>
    <col min="21" max="21" width="10.109375" style="1"/>
    <col min="22" max="22" width="6.6640625" style="1" customWidth="1"/>
    <col min="23" max="16384" width="10.109375" style="1"/>
  </cols>
  <sheetData>
    <row r="1" spans="1:23">
      <c r="A1" s="130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O1" s="12"/>
    </row>
    <row r="2" spans="1:23">
      <c r="A2" s="130" t="s">
        <v>121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2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23">
      <c r="A4" s="130" t="s">
        <v>111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7" spans="1:23">
      <c r="A7" s="3" t="s">
        <v>112</v>
      </c>
      <c r="M7" s="78" t="s">
        <v>1</v>
      </c>
    </row>
    <row r="8" spans="1:23">
      <c r="A8" s="5" t="s">
        <v>4</v>
      </c>
      <c r="K8" s="3"/>
      <c r="M8" s="4" t="s">
        <v>3</v>
      </c>
    </row>
    <row r="9" spans="1:23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6"/>
      <c r="L9" s="7"/>
      <c r="M9" s="8" t="str">
        <f>'J-1 Base'!$M$9</f>
        <v>Witness:  Christian</v>
      </c>
    </row>
    <row r="10" spans="1:23">
      <c r="L10" s="9"/>
      <c r="M10" s="9"/>
      <c r="N10" s="9"/>
    </row>
    <row r="11" spans="1:23">
      <c r="A11" s="10" t="s">
        <v>8</v>
      </c>
      <c r="E11" s="10" t="s">
        <v>9</v>
      </c>
      <c r="I11" s="10" t="s">
        <v>10</v>
      </c>
      <c r="M11" s="10" t="s">
        <v>11</v>
      </c>
    </row>
    <row r="12" spans="1:23">
      <c r="A12" s="11" t="s">
        <v>12</v>
      </c>
      <c r="B12" s="7"/>
      <c r="C12" s="6" t="s">
        <v>13</v>
      </c>
      <c r="D12" s="7"/>
      <c r="E12" s="11" t="s">
        <v>14</v>
      </c>
      <c r="F12" s="7"/>
      <c r="G12" s="11" t="s">
        <v>15</v>
      </c>
      <c r="H12" s="7"/>
      <c r="I12" s="11" t="s">
        <v>16</v>
      </c>
      <c r="J12" s="7"/>
      <c r="K12" s="11" t="s">
        <v>17</v>
      </c>
      <c r="L12" s="7"/>
      <c r="M12" s="11" t="s">
        <v>18</v>
      </c>
      <c r="O12" s="103"/>
      <c r="P12" s="12"/>
      <c r="Q12" s="12"/>
      <c r="R12" s="12"/>
      <c r="S12" s="12"/>
      <c r="T12" s="12"/>
    </row>
    <row r="13" spans="1:23">
      <c r="E13" s="10" t="s">
        <v>19</v>
      </c>
      <c r="G13" s="10" t="s">
        <v>20</v>
      </c>
      <c r="I13" s="10" t="s">
        <v>21</v>
      </c>
      <c r="K13" s="10" t="s">
        <v>22</v>
      </c>
      <c r="M13" s="10" t="s">
        <v>23</v>
      </c>
      <c r="O13" s="104"/>
      <c r="P13" s="12"/>
      <c r="Q13" s="12"/>
      <c r="R13" s="12"/>
      <c r="S13" s="12"/>
      <c r="T13" s="12"/>
    </row>
    <row r="14" spans="1:23">
      <c r="G14" s="10" t="s">
        <v>24</v>
      </c>
      <c r="K14" s="10" t="s">
        <v>25</v>
      </c>
      <c r="M14" s="10" t="s">
        <v>25</v>
      </c>
      <c r="O14" s="19"/>
      <c r="P14" s="19"/>
      <c r="Q14" s="26"/>
      <c r="R14" s="19"/>
      <c r="S14" s="19"/>
      <c r="T14" s="19"/>
      <c r="U14" s="26"/>
      <c r="V14" s="26"/>
      <c r="W14" s="26"/>
    </row>
    <row r="15" spans="1:23">
      <c r="O15" s="19"/>
      <c r="P15" s="19"/>
      <c r="Q15" s="26"/>
      <c r="R15" s="19"/>
      <c r="S15" s="19"/>
      <c r="T15" s="19"/>
      <c r="U15" s="26"/>
      <c r="V15" s="26"/>
      <c r="W15" s="26"/>
    </row>
    <row r="16" spans="1:23">
      <c r="E16" s="12"/>
      <c r="F16" s="12"/>
      <c r="G16" s="12"/>
      <c r="H16" s="12"/>
      <c r="I16" s="15"/>
      <c r="J16" s="12"/>
      <c r="K16" s="13"/>
      <c r="L16" s="12"/>
      <c r="M16" s="13"/>
      <c r="N16" s="12"/>
      <c r="O16"/>
    </row>
    <row r="17" spans="1:20">
      <c r="E17" s="12"/>
      <c r="F17" s="12"/>
      <c r="G17" s="12"/>
      <c r="H17" s="12"/>
      <c r="I17" s="105"/>
      <c r="J17" s="12"/>
      <c r="K17" s="12"/>
      <c r="L17" s="12"/>
      <c r="M17" s="12"/>
      <c r="N17" s="12"/>
      <c r="O17"/>
    </row>
    <row r="18" spans="1:20" ht="15.75">
      <c r="C18" s="14" t="s">
        <v>26</v>
      </c>
      <c r="E18" s="12"/>
      <c r="F18" s="12"/>
      <c r="G18" s="106"/>
      <c r="H18" s="12"/>
      <c r="I18" s="15"/>
      <c r="J18" s="12"/>
      <c r="K18" s="13"/>
      <c r="L18" s="12"/>
      <c r="M18" s="13"/>
      <c r="N18" s="12"/>
      <c r="O18"/>
    </row>
    <row r="19" spans="1:20">
      <c r="A19" s="3"/>
      <c r="C19" s="3"/>
      <c r="E19" s="12"/>
      <c r="F19" s="12"/>
      <c r="G19" s="12"/>
      <c r="H19" s="12"/>
      <c r="I19" s="12"/>
      <c r="J19" s="12"/>
      <c r="K19" s="13"/>
      <c r="L19" s="12"/>
      <c r="M19" s="12"/>
      <c r="N19" s="12"/>
      <c r="O19"/>
    </row>
    <row r="20" spans="1:20">
      <c r="A20" s="10">
        <v>6</v>
      </c>
      <c r="C20" s="3" t="s">
        <v>27</v>
      </c>
      <c r="E20" s="16"/>
      <c r="F20" s="12"/>
      <c r="G20" s="107">
        <f>J.1!P17</f>
        <v>242504.31246159747</v>
      </c>
      <c r="H20" s="12"/>
      <c r="I20" s="108">
        <f>G20/$G$28</f>
        <v>3.4755357627877341E-2</v>
      </c>
      <c r="J20" s="12"/>
      <c r="K20" s="109">
        <f>ROUND(+'J-2 F'!L20,4)</f>
        <v>1.9900000000000001E-2</v>
      </c>
      <c r="L20" s="12"/>
      <c r="M20" s="18">
        <f>ROUND(I20*K20,4)</f>
        <v>6.9999999999999999E-4</v>
      </c>
      <c r="N20" s="12"/>
      <c r="O20"/>
      <c r="P20" s="12"/>
      <c r="Q20" s="12"/>
      <c r="R20" s="12"/>
      <c r="S20" s="12"/>
      <c r="T20" s="12"/>
    </row>
    <row r="21" spans="1:20">
      <c r="E21" s="12"/>
      <c r="F21" s="12"/>
      <c r="G21" s="110"/>
      <c r="H21" s="12"/>
      <c r="I21" s="108"/>
      <c r="J21" s="12"/>
      <c r="K21" s="109"/>
      <c r="L21" s="12"/>
      <c r="M21" s="18"/>
      <c r="N21" s="12"/>
      <c r="O21"/>
      <c r="P21" s="12"/>
      <c r="Q21" s="12"/>
      <c r="R21" s="12"/>
      <c r="S21" s="12"/>
      <c r="T21" s="12"/>
    </row>
    <row r="22" spans="1:20">
      <c r="A22" s="10">
        <v>7</v>
      </c>
      <c r="C22" s="3" t="s">
        <v>29</v>
      </c>
      <c r="E22" s="16" t="s">
        <v>28</v>
      </c>
      <c r="F22" s="12"/>
      <c r="G22" s="111">
        <f>+J.1!P19</f>
        <v>3066734.19575</v>
      </c>
      <c r="H22" s="12"/>
      <c r="I22" s="108">
        <f>G22/$G$28</f>
        <v>0.4395197868483709</v>
      </c>
      <c r="J22" s="12"/>
      <c r="K22" s="109">
        <f>ROUND('J-3 F'!K34,4)</f>
        <v>5.11E-2</v>
      </c>
      <c r="L22" s="12"/>
      <c r="M22" s="18">
        <f>ROUND(I22*K22,4)</f>
        <v>2.2499999999999999E-2</v>
      </c>
      <c r="N22" s="12"/>
      <c r="O22"/>
    </row>
    <row r="23" spans="1:20">
      <c r="E23" s="12"/>
      <c r="F23" s="12"/>
      <c r="G23" s="111"/>
      <c r="H23" s="12"/>
      <c r="I23" s="108"/>
      <c r="J23" s="12"/>
      <c r="K23" s="18"/>
      <c r="L23" s="12"/>
      <c r="M23" s="18"/>
      <c r="N23" s="12"/>
      <c r="O23"/>
    </row>
    <row r="24" spans="1:20">
      <c r="A24" s="10">
        <v>8</v>
      </c>
      <c r="C24" s="3" t="s">
        <v>30</v>
      </c>
      <c r="E24" s="16" t="s">
        <v>31</v>
      </c>
      <c r="F24" s="12"/>
      <c r="G24" s="111">
        <f>+J.1!P23</f>
        <v>0</v>
      </c>
      <c r="H24" s="12"/>
      <c r="I24" s="108">
        <f>G24/$G$28</f>
        <v>0</v>
      </c>
      <c r="J24" s="12"/>
      <c r="K24" s="18">
        <v>0</v>
      </c>
      <c r="L24" s="12"/>
      <c r="M24" s="18">
        <f>ROUND(I24*K24,4)</f>
        <v>0</v>
      </c>
      <c r="N24" s="12"/>
      <c r="O24"/>
    </row>
    <row r="25" spans="1:20">
      <c r="E25" s="12"/>
      <c r="F25" s="12"/>
      <c r="G25" s="111"/>
      <c r="H25" s="12"/>
      <c r="I25" s="108"/>
      <c r="J25" s="12"/>
      <c r="K25" s="18"/>
      <c r="L25" s="12"/>
      <c r="M25" s="18"/>
      <c r="N25" s="12"/>
      <c r="O25"/>
    </row>
    <row r="26" spans="1:20">
      <c r="A26" s="10">
        <v>9</v>
      </c>
      <c r="C26" s="3" t="s">
        <v>32</v>
      </c>
      <c r="E26" s="12"/>
      <c r="F26" s="12"/>
      <c r="G26" s="112">
        <f>+J.1!P25</f>
        <v>3668227.0974676916</v>
      </c>
      <c r="H26" s="12"/>
      <c r="I26" s="113">
        <f>G26/$G$28</f>
        <v>0.52572485552375181</v>
      </c>
      <c r="J26" s="12"/>
      <c r="K26" s="18">
        <v>0.10299999999999999</v>
      </c>
      <c r="L26" s="12"/>
      <c r="M26" s="22">
        <f>ROUND(I26*K26,4)</f>
        <v>5.4100000000000002E-2</v>
      </c>
      <c r="N26" s="12"/>
      <c r="O26"/>
    </row>
    <row r="27" spans="1:20">
      <c r="G27" s="12"/>
      <c r="I27" s="114"/>
      <c r="K27" s="13"/>
      <c r="M27" s="115"/>
      <c r="O27"/>
    </row>
    <row r="28" spans="1:20" ht="15.75" thickBot="1">
      <c r="A28" s="10">
        <v>10</v>
      </c>
      <c r="C28" s="3" t="s">
        <v>33</v>
      </c>
      <c r="G28" s="23">
        <f>SUM(G20:G26)</f>
        <v>6977465.6056792885</v>
      </c>
      <c r="I28" s="116">
        <f>SUM(I20:I26)</f>
        <v>1</v>
      </c>
      <c r="K28" s="15"/>
      <c r="M28" s="25">
        <f>(+M20+M22+M24+M26)</f>
        <v>7.7300000000000008E-2</v>
      </c>
      <c r="O28"/>
    </row>
    <row r="29" spans="1:20" ht="15.75" thickTop="1"/>
  </sheetData>
  <mergeCells count="4">
    <mergeCell ref="A1:M1"/>
    <mergeCell ref="A2:M2"/>
    <mergeCell ref="A3:M3"/>
    <mergeCell ref="A4:M4"/>
  </mergeCells>
  <printOptions horizontalCentered="1"/>
  <pageMargins left="0.75" right="0.75" top="0.75" bottom="1.28" header="0.5" footer="0.43"/>
  <pageSetup scale="93" orientation="landscape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90" zoomScaleSheetLayoutView="80" workbookViewId="0">
      <selection activeCell="Q15" sqref="Q15"/>
    </sheetView>
  </sheetViews>
  <sheetFormatPr defaultColWidth="10.109375" defaultRowHeight="15"/>
  <cols>
    <col min="1" max="1" width="5.88671875" style="47" customWidth="1"/>
    <col min="2" max="2" width="2.109375" style="47" customWidth="1"/>
    <col min="3" max="3" width="16.109375" style="47" customWidth="1"/>
    <col min="4" max="4" width="11" style="47" customWidth="1"/>
    <col min="5" max="5" width="5.109375" style="47" customWidth="1"/>
    <col min="6" max="6" width="11.6640625" style="47" customWidth="1"/>
    <col min="7" max="7" width="4.21875" style="47" customWidth="1"/>
    <col min="8" max="8" width="10.109375" style="47"/>
    <col min="9" max="9" width="4.21875" style="47" customWidth="1"/>
    <col min="10" max="10" width="10.109375" style="47"/>
    <col min="11" max="11" width="5.77734375" style="47" customWidth="1"/>
    <col min="12" max="12" width="12.6640625" style="47" customWidth="1"/>
    <col min="13" max="16384" width="10.109375" style="47"/>
  </cols>
  <sheetData>
    <row r="1" spans="1:17">
      <c r="A1" s="132" t="s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7">
      <c r="A2" s="132" t="s">
        <v>121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7">
      <c r="A3" s="132" t="s">
        <v>113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7">
      <c r="A4" s="132" t="s">
        <v>114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N4" s="50"/>
      <c r="O4" s="50"/>
      <c r="P4" s="50"/>
      <c r="Q4" s="50"/>
    </row>
    <row r="5" spans="1:17">
      <c r="N5" s="50"/>
      <c r="O5" s="50"/>
      <c r="P5" s="50"/>
      <c r="Q5" s="50"/>
    </row>
    <row r="6" spans="1:17">
      <c r="N6" s="50"/>
      <c r="O6" s="50"/>
      <c r="P6" s="50"/>
      <c r="Q6" s="50"/>
    </row>
    <row r="7" spans="1:17">
      <c r="A7" s="52" t="s">
        <v>112</v>
      </c>
      <c r="L7" s="53" t="s">
        <v>1</v>
      </c>
      <c r="N7" s="50"/>
      <c r="O7" s="50"/>
      <c r="P7" s="50"/>
      <c r="Q7" s="50"/>
    </row>
    <row r="8" spans="1:17">
      <c r="A8" s="52" t="s">
        <v>4</v>
      </c>
      <c r="K8" s="52"/>
      <c r="L8" s="54" t="s">
        <v>36</v>
      </c>
      <c r="N8" s="50"/>
      <c r="O8" s="50"/>
      <c r="P8" s="50"/>
      <c r="Q8" s="50"/>
    </row>
    <row r="9" spans="1:17">
      <c r="A9" s="55" t="s">
        <v>6</v>
      </c>
      <c r="B9" s="56"/>
      <c r="C9" s="56"/>
      <c r="D9" s="56"/>
      <c r="E9" s="56"/>
      <c r="F9" s="56"/>
      <c r="G9" s="56"/>
      <c r="H9" s="56"/>
      <c r="I9" s="56"/>
      <c r="J9" s="56"/>
      <c r="K9" s="55"/>
      <c r="L9" s="58" t="str">
        <f>'J-1 Base'!$M$9</f>
        <v>Witness:  Christian</v>
      </c>
      <c r="N9" s="50"/>
      <c r="O9" s="50"/>
      <c r="P9" s="50"/>
      <c r="Q9" s="50"/>
    </row>
    <row r="10" spans="1:17">
      <c r="J10" s="63" t="s">
        <v>37</v>
      </c>
      <c r="L10" s="63" t="s">
        <v>38</v>
      </c>
    </row>
    <row r="11" spans="1:17">
      <c r="A11" s="63"/>
      <c r="F11" s="63" t="s">
        <v>15</v>
      </c>
      <c r="H11" s="63" t="s">
        <v>39</v>
      </c>
      <c r="J11" s="63" t="s">
        <v>40</v>
      </c>
      <c r="L11" s="63" t="s">
        <v>39</v>
      </c>
    </row>
    <row r="12" spans="1:17">
      <c r="A12" s="64"/>
      <c r="B12" s="56"/>
      <c r="C12" s="64" t="s">
        <v>41</v>
      </c>
      <c r="D12" s="56"/>
      <c r="E12" s="56"/>
      <c r="F12" s="64" t="s">
        <v>42</v>
      </c>
      <c r="G12" s="56"/>
      <c r="H12" s="64" t="s">
        <v>43</v>
      </c>
      <c r="I12" s="56"/>
      <c r="J12" s="64" t="s">
        <v>18</v>
      </c>
      <c r="K12" s="56"/>
      <c r="L12" s="64" t="s">
        <v>43</v>
      </c>
    </row>
    <row r="13" spans="1:17">
      <c r="C13" s="63" t="s">
        <v>19</v>
      </c>
      <c r="F13" s="63" t="s">
        <v>20</v>
      </c>
      <c r="H13" s="63" t="s">
        <v>21</v>
      </c>
      <c r="J13" s="63" t="s">
        <v>22</v>
      </c>
      <c r="L13" s="63" t="s">
        <v>44</v>
      </c>
    </row>
    <row r="14" spans="1:17">
      <c r="F14" s="63" t="s">
        <v>24</v>
      </c>
      <c r="J14" s="63" t="s">
        <v>24</v>
      </c>
    </row>
    <row r="16" spans="1:17">
      <c r="A16" s="63">
        <v>1</v>
      </c>
      <c r="C16" s="52" t="s">
        <v>115</v>
      </c>
      <c r="F16" s="50">
        <f>'J-2 B'!F16</f>
        <v>242504.31246159747</v>
      </c>
      <c r="G16" s="50"/>
      <c r="H16" s="117">
        <f>'J-2 B'!H16</f>
        <v>9.159292654358421E-3</v>
      </c>
      <c r="I16" s="51"/>
      <c r="J16" s="50">
        <f>(F16*H16)</f>
        <v>2221.1679677797488</v>
      </c>
      <c r="K16" s="50"/>
      <c r="L16" s="50"/>
      <c r="M16" s="50"/>
    </row>
    <row r="17" spans="1:13">
      <c r="L17" s="50"/>
    </row>
    <row r="18" spans="1:13">
      <c r="A18" s="63">
        <v>2</v>
      </c>
      <c r="C18" s="52" t="s">
        <v>116</v>
      </c>
      <c r="F18" s="50"/>
      <c r="G18" s="50"/>
      <c r="H18" s="50"/>
      <c r="I18" s="51"/>
      <c r="J18" s="50">
        <f>'J-2 B'!J18</f>
        <v>2604.2471753763439</v>
      </c>
      <c r="K18" s="50"/>
      <c r="L18" s="50"/>
      <c r="M18" s="50"/>
    </row>
    <row r="19" spans="1:13">
      <c r="F19" s="50"/>
      <c r="G19" s="50"/>
      <c r="H19" s="68"/>
      <c r="I19" s="50"/>
      <c r="J19" s="50"/>
      <c r="K19" s="50"/>
      <c r="L19" s="50"/>
      <c r="M19" s="50"/>
    </row>
    <row r="20" spans="1:13">
      <c r="A20" s="63">
        <v>3</v>
      </c>
      <c r="C20" s="52" t="s">
        <v>48</v>
      </c>
      <c r="F20" s="118">
        <f>SUM(F16:F18)</f>
        <v>242504.31246159747</v>
      </c>
      <c r="G20" s="50"/>
      <c r="H20" s="50"/>
      <c r="I20" s="51"/>
      <c r="J20" s="118">
        <f>SUM(J16:J18)</f>
        <v>4825.4151431560931</v>
      </c>
      <c r="K20" s="50"/>
      <c r="L20" s="102">
        <f>(J20/F20)</f>
        <v>1.9898265289283203E-2</v>
      </c>
      <c r="M20" s="50"/>
    </row>
    <row r="21" spans="1:13">
      <c r="F21" s="50"/>
      <c r="G21" s="50"/>
      <c r="H21" s="68"/>
      <c r="I21" s="51"/>
      <c r="J21" s="51"/>
      <c r="K21" s="50"/>
      <c r="L21" s="50"/>
      <c r="M21" s="50"/>
    </row>
    <row r="22" spans="1:13">
      <c r="F22" s="50"/>
      <c r="G22" s="50"/>
      <c r="H22" s="68"/>
      <c r="I22" s="51"/>
      <c r="J22" s="51"/>
      <c r="K22" s="50"/>
      <c r="L22" s="50"/>
      <c r="M22" s="50"/>
    </row>
    <row r="23" spans="1:13">
      <c r="F23" s="50"/>
      <c r="G23" s="50"/>
      <c r="H23" s="68"/>
      <c r="I23" s="51"/>
      <c r="J23" s="51"/>
      <c r="K23" s="50"/>
      <c r="L23" s="50"/>
      <c r="M23" s="50"/>
    </row>
    <row r="24" spans="1:13" ht="15.75">
      <c r="A24" s="119"/>
      <c r="G24" s="50"/>
      <c r="I24" s="51"/>
      <c r="L24" s="50"/>
    </row>
    <row r="25" spans="1:13">
      <c r="C25" s="52" t="s">
        <v>49</v>
      </c>
      <c r="G25" s="50"/>
      <c r="H25" s="68"/>
      <c r="I25" s="51"/>
      <c r="J25" s="51"/>
      <c r="L25" s="50"/>
    </row>
    <row r="26" spans="1:13">
      <c r="C26" s="52"/>
      <c r="G26" s="50"/>
      <c r="H26" s="68"/>
      <c r="I26" s="51"/>
      <c r="J26" s="51"/>
      <c r="L26" s="50"/>
    </row>
    <row r="27" spans="1:13">
      <c r="C27" s="52" t="s">
        <v>117</v>
      </c>
    </row>
    <row r="28" spans="1:13">
      <c r="C28" s="52"/>
    </row>
    <row r="29" spans="1:13">
      <c r="C29" s="52"/>
    </row>
    <row r="30" spans="1:13">
      <c r="C30" s="52"/>
      <c r="G30" s="50"/>
      <c r="I30" s="51"/>
    </row>
    <row r="31" spans="1:13">
      <c r="G31" s="50"/>
      <c r="H31" s="50"/>
      <c r="I31" s="51"/>
      <c r="J31" s="51"/>
    </row>
    <row r="32" spans="1:13">
      <c r="C32" s="52"/>
      <c r="G32" s="50"/>
    </row>
    <row r="33" spans="1:3">
      <c r="C33" s="52"/>
    </row>
    <row r="35" spans="1:3">
      <c r="C35" s="52"/>
    </row>
    <row r="40" spans="1:3">
      <c r="A40" s="52"/>
      <c r="C40" s="52"/>
    </row>
    <row r="41" spans="1:3">
      <c r="C41" s="52"/>
    </row>
    <row r="42" spans="1:3">
      <c r="C42" s="52"/>
    </row>
    <row r="43" spans="1:3">
      <c r="C43" s="52"/>
    </row>
  </sheetData>
  <mergeCells count="4">
    <mergeCell ref="A1:L1"/>
    <mergeCell ref="A2:L2"/>
    <mergeCell ref="A3:L3"/>
    <mergeCell ref="A4:L4"/>
  </mergeCells>
  <pageMargins left="0.75" right="0.75" top="0.83" bottom="1.1499999999999999" header="0.5" footer="0.5"/>
  <pageSetup orientation="landscape" verticalDpi="300" r:id="rId1"/>
  <headerFooter alignWithMargins="0">
    <oddHeader>&amp;R&amp;9CASE NO. 2017-00349
FR 16(8)(j)
ATTACHMENT 1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80" zoomScaleNormal="90" zoomScaleSheetLayoutView="80" workbookViewId="0">
      <selection activeCell="Q15" sqref="Q15"/>
    </sheetView>
  </sheetViews>
  <sheetFormatPr defaultColWidth="8.5546875" defaultRowHeight="15"/>
  <cols>
    <col min="1" max="1" width="3.88671875" style="47" customWidth="1"/>
    <col min="2" max="2" width="1" style="47" customWidth="1"/>
    <col min="3" max="3" width="34.77734375" style="47" customWidth="1"/>
    <col min="4" max="4" width="4.109375" style="47" customWidth="1"/>
    <col min="5" max="5" width="14.88671875" style="47" customWidth="1"/>
    <col min="6" max="6" width="1.6640625" style="47" customWidth="1"/>
    <col min="7" max="7" width="6.44140625" style="47" customWidth="1"/>
    <col min="8" max="8" width="2" style="47" customWidth="1"/>
    <col min="9" max="9" width="13.33203125" style="47" customWidth="1"/>
    <col min="10" max="10" width="2.109375" style="47" customWidth="1"/>
    <col min="11" max="11" width="8.5546875" style="47" customWidth="1"/>
    <col min="12" max="12" width="8.5546875" style="47"/>
    <col min="13" max="13" width="12.6640625" style="47" customWidth="1"/>
    <col min="14" max="16384" width="8.5546875" style="47"/>
  </cols>
  <sheetData>
    <row r="1" spans="1:12">
      <c r="A1" s="132" t="s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2">
      <c r="A2" s="132" t="s">
        <v>121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>
      <c r="A3" s="132" t="s">
        <v>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2">
      <c r="A4" s="132" t="s">
        <v>123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2">
      <c r="K6" s="53" t="s">
        <v>1</v>
      </c>
    </row>
    <row r="7" spans="1:12">
      <c r="A7" s="52" t="s">
        <v>112</v>
      </c>
      <c r="K7" s="54" t="s">
        <v>52</v>
      </c>
    </row>
    <row r="8" spans="1:12">
      <c r="A8" s="46" t="s">
        <v>4</v>
      </c>
      <c r="K8" s="54" t="s">
        <v>5</v>
      </c>
    </row>
    <row r="9" spans="1:12">
      <c r="A9" s="55" t="s">
        <v>6</v>
      </c>
      <c r="B9" s="56"/>
      <c r="C9" s="56"/>
      <c r="D9" s="56"/>
      <c r="E9" s="56"/>
      <c r="F9" s="56"/>
      <c r="G9" s="56"/>
      <c r="H9" s="56"/>
      <c r="I9" s="56"/>
      <c r="J9" s="57"/>
      <c r="K9" s="58" t="str">
        <f>'J-1 Base'!$M$9</f>
        <v>Witness:  Christian</v>
      </c>
    </row>
    <row r="10" spans="1:12">
      <c r="E10" s="62" t="s">
        <v>118</v>
      </c>
      <c r="I10" s="63" t="s">
        <v>37</v>
      </c>
      <c r="K10" s="63" t="s">
        <v>38</v>
      </c>
    </row>
    <row r="11" spans="1:12">
      <c r="A11" s="63" t="s">
        <v>8</v>
      </c>
      <c r="E11" s="63" t="s">
        <v>15</v>
      </c>
      <c r="G11" s="63" t="s">
        <v>39</v>
      </c>
      <c r="I11" s="63" t="s">
        <v>40</v>
      </c>
      <c r="K11" s="63" t="s">
        <v>39</v>
      </c>
    </row>
    <row r="12" spans="1:12">
      <c r="A12" s="64" t="s">
        <v>12</v>
      </c>
      <c r="B12" s="56"/>
      <c r="C12" s="64" t="s">
        <v>41</v>
      </c>
      <c r="D12" s="56"/>
      <c r="E12" s="64" t="s">
        <v>42</v>
      </c>
      <c r="F12" s="56"/>
      <c r="G12" s="64" t="s">
        <v>43</v>
      </c>
      <c r="H12" s="56"/>
      <c r="I12" s="64" t="s">
        <v>18</v>
      </c>
      <c r="J12" s="56"/>
      <c r="K12" s="64" t="s">
        <v>43</v>
      </c>
    </row>
    <row r="13" spans="1:12">
      <c r="C13" s="63" t="s">
        <v>19</v>
      </c>
      <c r="E13" s="63" t="s">
        <v>20</v>
      </c>
      <c r="G13" s="63" t="s">
        <v>21</v>
      </c>
      <c r="I13" s="63" t="s">
        <v>22</v>
      </c>
      <c r="K13" s="63" t="s">
        <v>44</v>
      </c>
    </row>
    <row r="14" spans="1:12">
      <c r="E14" s="63"/>
      <c r="I14" s="63"/>
    </row>
    <row r="16" spans="1:12">
      <c r="A16" s="63">
        <v>1</v>
      </c>
      <c r="C16" s="52" t="str">
        <f>'J-3 B'!C16</f>
        <v>6.75% Debentures Unsecured due July 2028</v>
      </c>
      <c r="E16" s="37">
        <f>'J-3 B'!E16</f>
        <v>150000000</v>
      </c>
      <c r="F16" s="50"/>
      <c r="G16" s="65">
        <f>'J-3 B'!G16</f>
        <v>6.7500000000000004E-2</v>
      </c>
      <c r="H16" s="51"/>
      <c r="I16" s="120">
        <f t="shared" ref="I16:I25" si="0">(E16*G16)</f>
        <v>10125000</v>
      </c>
      <c r="J16" s="50"/>
      <c r="K16" s="92"/>
      <c r="L16" s="50"/>
    </row>
    <row r="17" spans="1:14">
      <c r="A17" s="63">
        <f>A16+1</f>
        <v>2</v>
      </c>
      <c r="C17" s="52" t="str">
        <f>'J-3 B'!C17</f>
        <v>6.67% MTN A1 due Dec 2025</v>
      </c>
      <c r="E17" s="67">
        <f>'J-3 B'!E17</f>
        <v>10000000</v>
      </c>
      <c r="F17" s="50"/>
      <c r="G17" s="65">
        <f>'J-3 B'!G17</f>
        <v>6.6699999999999995E-2</v>
      </c>
      <c r="H17" s="51"/>
      <c r="I17" s="121">
        <f t="shared" si="0"/>
        <v>667000</v>
      </c>
    </row>
    <row r="18" spans="1:14">
      <c r="A18" s="63">
        <f t="shared" ref="A18:A34" si="1">A17+1</f>
        <v>3</v>
      </c>
      <c r="C18" s="52" t="str">
        <f>'J-3 B'!C18</f>
        <v>5.95% Sr Note due 10/15/2034</v>
      </c>
      <c r="E18" s="67">
        <f>'J-3 B'!E18</f>
        <v>200000000</v>
      </c>
      <c r="G18" s="65">
        <f>'J-3 B'!G18</f>
        <v>5.9499999999999997E-2</v>
      </c>
      <c r="H18" s="50"/>
      <c r="I18" s="121">
        <f t="shared" si="0"/>
        <v>11900000</v>
      </c>
      <c r="J18" s="50"/>
      <c r="K18" s="92"/>
      <c r="L18" s="50"/>
    </row>
    <row r="19" spans="1:14">
      <c r="A19" s="63">
        <f t="shared" si="1"/>
        <v>4</v>
      </c>
      <c r="C19" s="52" t="str">
        <f>'J-3 B'!C19</f>
        <v>6.35% Sr Note due 6/15/2017</v>
      </c>
      <c r="E19" s="67">
        <f>'J-3 B'!E19</f>
        <v>0</v>
      </c>
      <c r="F19" s="50"/>
      <c r="G19" s="65">
        <f>'J-3 B'!G19</f>
        <v>6.3500000000000001E-2</v>
      </c>
      <c r="H19" s="51"/>
      <c r="I19" s="121">
        <f t="shared" si="0"/>
        <v>0</v>
      </c>
      <c r="J19" s="50"/>
      <c r="K19" s="92"/>
      <c r="L19" s="50"/>
    </row>
    <row r="20" spans="1:14">
      <c r="A20" s="63">
        <f t="shared" si="1"/>
        <v>5</v>
      </c>
      <c r="C20" s="52" t="str">
        <f>'J-3 B'!C20</f>
        <v>Sr Note 5.50% Due 06/15/2041</v>
      </c>
      <c r="E20" s="67">
        <f>'J-3 B'!E20</f>
        <v>400000000</v>
      </c>
      <c r="G20" s="65">
        <f>'J-3 B'!G20</f>
        <v>5.5E-2</v>
      </c>
      <c r="H20" s="51"/>
      <c r="I20" s="121">
        <f t="shared" si="0"/>
        <v>22000000</v>
      </c>
      <c r="J20" s="50"/>
      <c r="K20" s="92"/>
      <c r="L20" s="50"/>
    </row>
    <row r="21" spans="1:14">
      <c r="A21" s="63">
        <f t="shared" si="1"/>
        <v>6</v>
      </c>
      <c r="C21" s="52" t="str">
        <f>'J-3 B'!C21</f>
        <v>8.50% Sr Note due 3/15/2019</v>
      </c>
      <c r="E21" s="67">
        <f>'J-3 B'!E21</f>
        <v>450000000</v>
      </c>
      <c r="G21" s="65">
        <f>'J-3 B'!G21</f>
        <v>8.5000000000000006E-2</v>
      </c>
      <c r="H21" s="51"/>
      <c r="I21" s="121">
        <f t="shared" si="0"/>
        <v>38250000</v>
      </c>
      <c r="J21" s="50"/>
      <c r="K21" s="92"/>
      <c r="L21" s="50"/>
    </row>
    <row r="22" spans="1:14">
      <c r="A22" s="63">
        <f t="shared" si="1"/>
        <v>7</v>
      </c>
      <c r="C22" s="52" t="str">
        <f>'J-3 B'!C22</f>
        <v>4.15% Sr Note due 1/15/2043</v>
      </c>
      <c r="E22" s="67">
        <f>'J-3 B'!E22</f>
        <v>500000000</v>
      </c>
      <c r="G22" s="65">
        <f>'J-3 B'!G22</f>
        <v>4.1500000000000002E-2</v>
      </c>
      <c r="H22" s="51"/>
      <c r="I22" s="121">
        <f t="shared" si="0"/>
        <v>20750000</v>
      </c>
      <c r="J22" s="50"/>
      <c r="K22" s="92"/>
      <c r="L22" s="50"/>
    </row>
    <row r="23" spans="1:14">
      <c r="A23" s="63">
        <f t="shared" si="1"/>
        <v>8</v>
      </c>
      <c r="C23" s="52" t="str">
        <f>'J-3 B'!C23</f>
        <v>4.125% Sr Note due 10/15/2044</v>
      </c>
      <c r="E23" s="67">
        <f>'J-3 B'!E23</f>
        <v>750000000</v>
      </c>
      <c r="G23" s="65">
        <f>'J-3 B'!G23</f>
        <v>4.1250000000000002E-2</v>
      </c>
      <c r="H23" s="51"/>
      <c r="I23" s="121">
        <f t="shared" si="0"/>
        <v>30937500</v>
      </c>
      <c r="K23" s="93"/>
    </row>
    <row r="24" spans="1:14">
      <c r="A24" s="63">
        <f t="shared" si="1"/>
        <v>9</v>
      </c>
      <c r="C24" s="52" t="s">
        <v>119</v>
      </c>
      <c r="E24" s="67">
        <f>'J-3 B'!E24</f>
        <v>500000000</v>
      </c>
      <c r="G24" s="65">
        <f>'J-3 B'!G24</f>
        <v>0.03</v>
      </c>
      <c r="H24" s="51"/>
      <c r="I24" s="121">
        <f t="shared" si="0"/>
        <v>15000000</v>
      </c>
      <c r="K24" s="93"/>
    </row>
    <row r="25" spans="1:14">
      <c r="A25" s="63">
        <f t="shared" si="1"/>
        <v>10</v>
      </c>
      <c r="C25" s="52" t="s">
        <v>63</v>
      </c>
      <c r="E25" s="67">
        <v>125000000</v>
      </c>
      <c r="F25" s="50"/>
      <c r="G25" s="65">
        <v>1.8171111111111107E-2</v>
      </c>
      <c r="H25" s="51"/>
      <c r="I25" s="69">
        <f t="shared" si="0"/>
        <v>2271388.8888888885</v>
      </c>
      <c r="K25" s="93"/>
    </row>
    <row r="26" spans="1:14">
      <c r="A26" s="63">
        <f t="shared" si="1"/>
        <v>11</v>
      </c>
      <c r="C26" s="52" t="s">
        <v>64</v>
      </c>
      <c r="E26" s="122">
        <f>SUM(E16:E25)</f>
        <v>3085000000</v>
      </c>
      <c r="F26" s="50"/>
      <c r="G26" s="123"/>
      <c r="I26" s="124">
        <f>SUM(I16:I25)</f>
        <v>151900888.8888889</v>
      </c>
    </row>
    <row r="27" spans="1:14">
      <c r="A27" s="63">
        <f t="shared" si="1"/>
        <v>12</v>
      </c>
      <c r="C27" s="52"/>
      <c r="E27" s="67"/>
      <c r="G27" s="123"/>
      <c r="I27" s="50"/>
    </row>
    <row r="28" spans="1:14">
      <c r="A28" s="63">
        <f t="shared" si="1"/>
        <v>13</v>
      </c>
      <c r="C28" s="52" t="s">
        <v>65</v>
      </c>
      <c r="E28" s="125"/>
      <c r="G28" s="123"/>
      <c r="I28" s="126">
        <f>'J-3 B'!I28</f>
        <v>4955311.3260243991</v>
      </c>
    </row>
    <row r="29" spans="1:14">
      <c r="A29" s="63">
        <f t="shared" si="1"/>
        <v>14</v>
      </c>
      <c r="C29" s="52" t="s">
        <v>66</v>
      </c>
      <c r="E29" s="71">
        <v>4370287.9400000013</v>
      </c>
      <c r="F29" s="50"/>
      <c r="G29" s="123"/>
      <c r="H29" s="51"/>
      <c r="I29" s="50"/>
      <c r="N29" s="46"/>
    </row>
    <row r="30" spans="1:14">
      <c r="A30" s="63">
        <f t="shared" si="1"/>
        <v>15</v>
      </c>
      <c r="C30" s="52" t="s">
        <v>67</v>
      </c>
      <c r="E30" s="71">
        <v>-22636092.190000001</v>
      </c>
      <c r="G30" s="127"/>
    </row>
    <row r="31" spans="1:14">
      <c r="A31" s="63">
        <f t="shared" si="1"/>
        <v>16</v>
      </c>
    </row>
    <row r="32" spans="1:14">
      <c r="A32" s="63">
        <f t="shared" si="1"/>
        <v>17</v>
      </c>
      <c r="E32" s="50"/>
      <c r="G32" s="127"/>
    </row>
    <row r="33" spans="1:11">
      <c r="A33" s="63">
        <f t="shared" si="1"/>
        <v>18</v>
      </c>
    </row>
    <row r="34" spans="1:11" ht="15.75" thickBot="1">
      <c r="A34" s="63">
        <f t="shared" si="1"/>
        <v>19</v>
      </c>
      <c r="C34" s="52" t="s">
        <v>68</v>
      </c>
      <c r="E34" s="128">
        <f>+E26+E29+E30</f>
        <v>3066734195.75</v>
      </c>
      <c r="G34" s="127"/>
      <c r="I34" s="128">
        <f>+I26+I28</f>
        <v>156856200.21491331</v>
      </c>
      <c r="K34" s="129">
        <f>+I34/E34</f>
        <v>5.1147634650662181E-2</v>
      </c>
    </row>
    <row r="35" spans="1:11" ht="15.75" thickTop="1"/>
    <row r="36" spans="1:11">
      <c r="A36" s="52"/>
      <c r="C36" s="52"/>
    </row>
    <row r="37" spans="1:11">
      <c r="C37" s="52"/>
    </row>
    <row r="38" spans="1:11">
      <c r="C38" s="52"/>
    </row>
    <row r="40" spans="1:11">
      <c r="G40" s="65"/>
    </row>
    <row r="41" spans="1:11">
      <c r="G41" s="65"/>
    </row>
    <row r="42" spans="1:11">
      <c r="G42" s="65"/>
    </row>
    <row r="43" spans="1:11">
      <c r="G43" s="65"/>
    </row>
    <row r="44" spans="1:11">
      <c r="G44" s="65"/>
    </row>
    <row r="45" spans="1:11">
      <c r="G45" s="65"/>
    </row>
    <row r="46" spans="1:11">
      <c r="G46" s="65"/>
    </row>
    <row r="47" spans="1:11">
      <c r="G47" s="65"/>
    </row>
  </sheetData>
  <mergeCells count="4">
    <mergeCell ref="A1:K1"/>
    <mergeCell ref="A2:K2"/>
    <mergeCell ref="A3:K3"/>
    <mergeCell ref="A4:K4"/>
  </mergeCells>
  <printOptions horizontalCentered="1"/>
  <pageMargins left="0.81" right="0.46" top="1.24" bottom="0.75" header="0.5" footer="0.5"/>
  <pageSetup scale="83" orientation="portrait" verticalDpi="300" r:id="rId1"/>
  <headerFooter alignWithMargins="0">
    <oddHeader>&amp;R&amp;9CASE NO. 2017-00349
FR 16(8)(j)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J-1 Base</vt:lpstr>
      <vt:lpstr>J-2 B</vt:lpstr>
      <vt:lpstr>J-3 B</vt:lpstr>
      <vt:lpstr>J-4</vt:lpstr>
      <vt:lpstr>J.1</vt:lpstr>
      <vt:lpstr>J-1 F</vt:lpstr>
      <vt:lpstr>J-2 F</vt:lpstr>
      <vt:lpstr>J-3 F</vt:lpstr>
      <vt:lpstr>J.1!Print_Area</vt:lpstr>
      <vt:lpstr>'J-1 Base'!Print_Area</vt:lpstr>
      <vt:lpstr>'J-1 F'!Print_Area</vt:lpstr>
      <vt:lpstr>'J-2 B'!Print_Area</vt:lpstr>
      <vt:lpstr>'J-2 F'!Print_Area</vt:lpstr>
      <vt:lpstr>'J-3 B'!Print_Area</vt:lpstr>
      <vt:lpstr>'J-3 F'!Print_Area</vt:lpstr>
      <vt:lpstr>'J-4'!Print_Area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Eric  Wilen</cp:lastModifiedBy>
  <cp:lastPrinted>2017-09-21T20:12:50Z</cp:lastPrinted>
  <dcterms:created xsi:type="dcterms:W3CDTF">2017-09-19T21:52:59Z</dcterms:created>
  <dcterms:modified xsi:type="dcterms:W3CDTF">2017-09-21T20:12:53Z</dcterms:modified>
</cp:coreProperties>
</file>