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 tabRatio="779"/>
  </bookViews>
  <sheets>
    <sheet name="Cover C" sheetId="1" r:id="rId1"/>
    <sheet name="C.1" sheetId="2" r:id="rId2"/>
    <sheet name="C.2" sheetId="3" r:id="rId3"/>
    <sheet name="C.2.1 B" sheetId="4" r:id="rId4"/>
    <sheet name="C.2.1 F" sheetId="5" r:id="rId5"/>
    <sheet name="C.2.2 B 09" sheetId="6" r:id="rId6"/>
    <sheet name="C.2.2 B 02" sheetId="7" r:id="rId7"/>
    <sheet name="C.2.2 B 12" sheetId="8" r:id="rId8"/>
    <sheet name="C.2.2 B 91" sheetId="9" r:id="rId9"/>
    <sheet name="C.2.2-F 09" sheetId="10" r:id="rId10"/>
    <sheet name="C.2.2-F 02" sheetId="11" r:id="rId11"/>
    <sheet name="C.2.2-F 12" sheetId="12" r:id="rId12"/>
    <sheet name="C.2.2-F 91" sheetId="13" r:id="rId13"/>
    <sheet name="C.2.3 B" sheetId="14" r:id="rId14"/>
    <sheet name="C.2.3 F" sheetId="15" r:id="rId1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C.1!$A$1:$J$31</definedName>
    <definedName name="_xlnm.Print_Area" localSheetId="2">C.2!$A$1:$O$34</definedName>
    <definedName name="_xlnm.Print_Area" localSheetId="3">'C.2.1 B'!$A$1:$D$181</definedName>
    <definedName name="_xlnm.Print_Area" localSheetId="4">'C.2.1 F'!$A$1:$D$178</definedName>
    <definedName name="_xlnm.Print_Area" localSheetId="6">'C.2.2 B 02'!$A$14:$P$45</definedName>
    <definedName name="_xlnm.Print_Area" localSheetId="5">'C.2.2 B 09'!$A$12:$P$114</definedName>
    <definedName name="_xlnm.Print_Area" localSheetId="7">'C.2.2 B 12'!$A$12:$P$37</definedName>
    <definedName name="_xlnm.Print_Area" localSheetId="8">'C.2.2 B 91'!$A$14:$P$59</definedName>
    <definedName name="_xlnm.Print_Area" localSheetId="10">'C.2.2-F 02'!$A$12:$P$43</definedName>
    <definedName name="_xlnm.Print_Area" localSheetId="9">'C.2.2-F 09'!$A$12:$P$113</definedName>
    <definedName name="_xlnm.Print_Area" localSheetId="11">'C.2.2-F 12'!$A$12:$P$37</definedName>
    <definedName name="_xlnm.Print_Area" localSheetId="12">'C.2.2-F 91'!$A$12:$P$57</definedName>
    <definedName name="_xlnm.Print_Area" localSheetId="13">'C.2.3 B'!$A$1:$O$67</definedName>
    <definedName name="_xlnm.Print_Area" localSheetId="14">'C.2.3 F'!$A$1:$O$68</definedName>
    <definedName name="_xlnm.Print_Area" localSheetId="0">'Cover C'!$A$1:$C$20</definedName>
    <definedName name="_xlnm.Print_Titles" localSheetId="3">'C.2.1 B'!$1:$12</definedName>
    <definedName name="_xlnm.Print_Titles" localSheetId="4">'C.2.1 F'!$1:$12</definedName>
    <definedName name="_xlnm.Print_Titles" localSheetId="6">'C.2.2 B 02'!$1:$11</definedName>
    <definedName name="_xlnm.Print_Titles" localSheetId="5">'C.2.2 B 09'!$1:$11</definedName>
    <definedName name="_xlnm.Print_Titles" localSheetId="7">'C.2.2 B 12'!$1:$11</definedName>
    <definedName name="_xlnm.Print_Titles" localSheetId="8">'C.2.2 B 91'!$1:$11</definedName>
    <definedName name="_xlnm.Print_Titles" localSheetId="10">'C.2.2-F 02'!$1:$11</definedName>
    <definedName name="_xlnm.Print_Titles" localSheetId="9">'C.2.2-F 09'!$1:$11</definedName>
    <definedName name="_xlnm.Print_Titles" localSheetId="11">'C.2.2-F 12'!$1:$11</definedName>
    <definedName name="_xlnm.Print_Titles" localSheetId="12">'C.2.2-F 91'!$1:$11</definedName>
    <definedName name="_xlnm.Print_Titles" localSheetId="13">'C.2.3 B'!$1:$10</definedName>
    <definedName name="_xlnm.Print_Titles" localSheetId="14">'C.2.3 F'!$1:$10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5" l="1"/>
  <c r="N65" i="15"/>
  <c r="M65" i="15"/>
  <c r="L65" i="15"/>
  <c r="K65" i="15"/>
  <c r="J65" i="15"/>
  <c r="I65" i="15"/>
  <c r="H65" i="15"/>
  <c r="G65" i="15"/>
  <c r="F65" i="15"/>
  <c r="E65" i="15"/>
  <c r="D65" i="15"/>
  <c r="D61" i="15"/>
  <c r="E61" i="15" s="1"/>
  <c r="F61" i="15" s="1"/>
  <c r="G61" i="15" s="1"/>
  <c r="H61" i="15" s="1"/>
  <c r="I61" i="15" s="1"/>
  <c r="J61" i="15" s="1"/>
  <c r="K61" i="15" s="1"/>
  <c r="L61" i="15" s="1"/>
  <c r="M61" i="15" s="1"/>
  <c r="N61" i="15" s="1"/>
  <c r="C61" i="15"/>
  <c r="O61" i="15" s="1"/>
  <c r="F60" i="15"/>
  <c r="E60" i="15"/>
  <c r="D60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O59" i="15" s="1"/>
  <c r="N58" i="15"/>
  <c r="M58" i="15"/>
  <c r="L58" i="15"/>
  <c r="K58" i="15"/>
  <c r="J58" i="15"/>
  <c r="I58" i="15"/>
  <c r="H58" i="15"/>
  <c r="G58" i="15"/>
  <c r="F58" i="15"/>
  <c r="E58" i="15"/>
  <c r="D58" i="15"/>
  <c r="C58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O57" i="15" s="1"/>
  <c r="N56" i="15"/>
  <c r="M56" i="15"/>
  <c r="L56" i="15"/>
  <c r="K56" i="15"/>
  <c r="J56" i="15"/>
  <c r="I56" i="15"/>
  <c r="H56" i="15"/>
  <c r="G56" i="15"/>
  <c r="F56" i="15"/>
  <c r="F63" i="15" s="1"/>
  <c r="E56" i="15"/>
  <c r="E63" i="15" s="1"/>
  <c r="D56" i="15"/>
  <c r="D63" i="15" s="1"/>
  <c r="C56" i="15"/>
  <c r="C63" i="15" s="1"/>
  <c r="D50" i="15"/>
  <c r="K50" i="15"/>
  <c r="N46" i="15"/>
  <c r="D46" i="15"/>
  <c r="E46" i="15" s="1"/>
  <c r="F46" i="15" s="1"/>
  <c r="G46" i="15" s="1"/>
  <c r="H46" i="15" s="1"/>
  <c r="I46" i="15" s="1"/>
  <c r="J46" i="15" s="1"/>
  <c r="K46" i="15" s="1"/>
  <c r="L46" i="15" s="1"/>
  <c r="M46" i="15" s="1"/>
  <c r="N45" i="15"/>
  <c r="M45" i="15"/>
  <c r="L45" i="15"/>
  <c r="K45" i="15"/>
  <c r="J45" i="15"/>
  <c r="I45" i="15"/>
  <c r="H45" i="15"/>
  <c r="G45" i="15"/>
  <c r="G48" i="15" s="1"/>
  <c r="F45" i="15"/>
  <c r="E45" i="15"/>
  <c r="D45" i="15"/>
  <c r="C45" i="15"/>
  <c r="C48" i="15" s="1"/>
  <c r="N44" i="15"/>
  <c r="M44" i="15"/>
  <c r="L44" i="15"/>
  <c r="K44" i="15"/>
  <c r="J44" i="15"/>
  <c r="I44" i="15"/>
  <c r="H44" i="15"/>
  <c r="G44" i="15"/>
  <c r="F44" i="15"/>
  <c r="E44" i="15"/>
  <c r="D44" i="15"/>
  <c r="C44" i="15"/>
  <c r="O44" i="15" s="1"/>
  <c r="N43" i="15"/>
  <c r="M43" i="15"/>
  <c r="L43" i="15"/>
  <c r="L48" i="15" s="1"/>
  <c r="K43" i="15"/>
  <c r="K48" i="15" s="1"/>
  <c r="J43" i="15"/>
  <c r="I43" i="15"/>
  <c r="H43" i="15"/>
  <c r="H48" i="15" s="1"/>
  <c r="G43" i="15"/>
  <c r="F43" i="15"/>
  <c r="E43" i="15"/>
  <c r="D43" i="15"/>
  <c r="D48" i="15" s="1"/>
  <c r="C43" i="15"/>
  <c r="O43" i="15" s="1"/>
  <c r="M38" i="15"/>
  <c r="I38" i="15"/>
  <c r="L38" i="15"/>
  <c r="N37" i="15"/>
  <c r="L37" i="15"/>
  <c r="H37" i="15"/>
  <c r="F37" i="15"/>
  <c r="D37" i="15"/>
  <c r="M37" i="15"/>
  <c r="D33" i="15"/>
  <c r="E33" i="15" s="1"/>
  <c r="C33" i="15"/>
  <c r="F32" i="15"/>
  <c r="G32" i="15" s="1"/>
  <c r="H32" i="15" s="1"/>
  <c r="I32" i="15" s="1"/>
  <c r="D32" i="15"/>
  <c r="E32" i="15" s="1"/>
  <c r="C32" i="15"/>
  <c r="O31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O30" i="15" s="1"/>
  <c r="N29" i="15"/>
  <c r="M29" i="15"/>
  <c r="L29" i="15"/>
  <c r="K29" i="15"/>
  <c r="J29" i="15"/>
  <c r="I29" i="15"/>
  <c r="H29" i="15"/>
  <c r="G29" i="15"/>
  <c r="F29" i="15"/>
  <c r="E29" i="15"/>
  <c r="D29" i="15"/>
  <c r="C29" i="15"/>
  <c r="N28" i="15"/>
  <c r="M28" i="15"/>
  <c r="L28" i="15"/>
  <c r="K28" i="15"/>
  <c r="J28" i="15"/>
  <c r="I28" i="15"/>
  <c r="H28" i="15"/>
  <c r="G28" i="15"/>
  <c r="F28" i="15"/>
  <c r="E28" i="15"/>
  <c r="D28" i="15"/>
  <c r="D35" i="15" s="1"/>
  <c r="C28" i="15"/>
  <c r="C35" i="15" s="1"/>
  <c r="N19" i="15"/>
  <c r="M19" i="15"/>
  <c r="L19" i="15"/>
  <c r="K19" i="15"/>
  <c r="J19" i="15"/>
  <c r="I19" i="15"/>
  <c r="H19" i="15"/>
  <c r="G19" i="15"/>
  <c r="F19" i="15"/>
  <c r="E19" i="15"/>
  <c r="D19" i="15"/>
  <c r="C19" i="15"/>
  <c r="O19" i="15" s="1"/>
  <c r="N18" i="15"/>
  <c r="M18" i="15"/>
  <c r="L18" i="15"/>
  <c r="K18" i="15"/>
  <c r="J18" i="15"/>
  <c r="I18" i="15"/>
  <c r="H18" i="15"/>
  <c r="G18" i="15"/>
  <c r="F18" i="15"/>
  <c r="E18" i="15"/>
  <c r="D18" i="15"/>
  <c r="C18" i="15"/>
  <c r="O18" i="15" s="1"/>
  <c r="O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O16" i="15" s="1"/>
  <c r="N15" i="15"/>
  <c r="M15" i="15"/>
  <c r="L15" i="15"/>
  <c r="K15" i="15"/>
  <c r="J15" i="15"/>
  <c r="I15" i="15"/>
  <c r="H15" i="15"/>
  <c r="G15" i="15"/>
  <c r="F15" i="15"/>
  <c r="E15" i="15"/>
  <c r="D15" i="15"/>
  <c r="C15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O14" i="15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O13" i="15" s="1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A8" i="15"/>
  <c r="A6" i="15"/>
  <c r="K67" i="14"/>
  <c r="J67" i="14"/>
  <c r="I67" i="14"/>
  <c r="H67" i="14"/>
  <c r="G67" i="14"/>
  <c r="F67" i="14"/>
  <c r="E67" i="14"/>
  <c r="D67" i="14"/>
  <c r="C67" i="14"/>
  <c r="M65" i="14"/>
  <c r="N64" i="14"/>
  <c r="M64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2" i="14" s="1"/>
  <c r="O60" i="14"/>
  <c r="O59" i="14"/>
  <c r="O58" i="14"/>
  <c r="O57" i="14"/>
  <c r="O56" i="14"/>
  <c r="O55" i="14"/>
  <c r="K52" i="14"/>
  <c r="J52" i="14"/>
  <c r="I52" i="14"/>
  <c r="H52" i="14"/>
  <c r="G52" i="14"/>
  <c r="F52" i="14"/>
  <c r="E52" i="14"/>
  <c r="D52" i="14"/>
  <c r="C52" i="14"/>
  <c r="M50" i="14"/>
  <c r="N50" i="14" s="1"/>
  <c r="N49" i="14"/>
  <c r="M49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7" i="14" s="1"/>
  <c r="O45" i="14"/>
  <c r="O44" i="14"/>
  <c r="O43" i="14"/>
  <c r="O42" i="14"/>
  <c r="K39" i="14"/>
  <c r="J39" i="14"/>
  <c r="I39" i="14"/>
  <c r="H39" i="14"/>
  <c r="G39" i="14"/>
  <c r="F39" i="14"/>
  <c r="E39" i="14"/>
  <c r="D39" i="14"/>
  <c r="C39" i="14"/>
  <c r="M37" i="14"/>
  <c r="N37" i="14" s="1"/>
  <c r="M36" i="14"/>
  <c r="N36" i="14" s="1"/>
  <c r="N34" i="14"/>
  <c r="M34" i="14"/>
  <c r="L34" i="14"/>
  <c r="L39" i="14" s="1"/>
  <c r="K34" i="14"/>
  <c r="J34" i="14"/>
  <c r="I34" i="14"/>
  <c r="H34" i="14"/>
  <c r="G34" i="14"/>
  <c r="F34" i="14"/>
  <c r="E34" i="14"/>
  <c r="D34" i="14"/>
  <c r="C34" i="14"/>
  <c r="O34" i="14" s="1"/>
  <c r="O32" i="14"/>
  <c r="O31" i="14"/>
  <c r="O30" i="14"/>
  <c r="O29" i="14"/>
  <c r="O28" i="14"/>
  <c r="O27" i="14"/>
  <c r="K24" i="14"/>
  <c r="J24" i="14"/>
  <c r="I24" i="14"/>
  <c r="H24" i="14"/>
  <c r="G24" i="14"/>
  <c r="F24" i="14"/>
  <c r="E24" i="14"/>
  <c r="D24" i="14"/>
  <c r="C24" i="14"/>
  <c r="O19" i="14"/>
  <c r="O18" i="14"/>
  <c r="O17" i="14"/>
  <c r="O16" i="14"/>
  <c r="O15" i="14"/>
  <c r="O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O13" i="14"/>
  <c r="A13" i="14"/>
  <c r="O12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N9" i="14"/>
  <c r="M9" i="14"/>
  <c r="L9" i="14"/>
  <c r="K9" i="14"/>
  <c r="J9" i="14"/>
  <c r="I9" i="14"/>
  <c r="H9" i="14"/>
  <c r="G9" i="14"/>
  <c r="F9" i="14"/>
  <c r="E9" i="14"/>
  <c r="D9" i="14"/>
  <c r="C9" i="14"/>
  <c r="A8" i="14"/>
  <c r="A7" i="14"/>
  <c r="A6" i="14"/>
  <c r="E53" i="13"/>
  <c r="F53" i="13" s="1"/>
  <c r="G53" i="13" s="1"/>
  <c r="H53" i="13" s="1"/>
  <c r="I53" i="13" s="1"/>
  <c r="J53" i="13" s="1"/>
  <c r="K53" i="13" s="1"/>
  <c r="L53" i="13" s="1"/>
  <c r="M53" i="13" s="1"/>
  <c r="N53" i="13" s="1"/>
  <c r="O53" i="13" s="1"/>
  <c r="K52" i="13"/>
  <c r="C52" i="13"/>
  <c r="B52" i="13"/>
  <c r="P48" i="13"/>
  <c r="P47" i="13"/>
  <c r="P46" i="13"/>
  <c r="P45" i="13"/>
  <c r="P44" i="13"/>
  <c r="P43" i="13"/>
  <c r="O42" i="13"/>
  <c r="O52" i="13" s="1"/>
  <c r="N42" i="13"/>
  <c r="M42" i="13"/>
  <c r="L42" i="13"/>
  <c r="K42" i="13"/>
  <c r="J42" i="13"/>
  <c r="I42" i="13"/>
  <c r="H42" i="13"/>
  <c r="G42" i="13"/>
  <c r="F42" i="13"/>
  <c r="E42" i="13"/>
  <c r="D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P12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P8" i="13"/>
  <c r="A8" i="13"/>
  <c r="A6" i="13"/>
  <c r="E33" i="12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G32" i="12"/>
  <c r="C32" i="12"/>
  <c r="B32" i="12"/>
  <c r="N30" i="12"/>
  <c r="L30" i="12"/>
  <c r="J30" i="12"/>
  <c r="H30" i="12"/>
  <c r="F30" i="12"/>
  <c r="D30" i="12"/>
  <c r="P28" i="12"/>
  <c r="P27" i="12"/>
  <c r="P26" i="12"/>
  <c r="P25" i="12"/>
  <c r="P24" i="12"/>
  <c r="P23" i="12"/>
  <c r="O22" i="12"/>
  <c r="O30" i="12" s="1"/>
  <c r="N22" i="12"/>
  <c r="M22" i="12"/>
  <c r="L22" i="12"/>
  <c r="K22" i="12"/>
  <c r="K30" i="12" s="1"/>
  <c r="J22" i="12"/>
  <c r="I22" i="12"/>
  <c r="H22" i="12"/>
  <c r="G22" i="12"/>
  <c r="G30" i="12" s="1"/>
  <c r="F22" i="12"/>
  <c r="E22" i="12"/>
  <c r="D22" i="12"/>
  <c r="P21" i="12"/>
  <c r="P20" i="12"/>
  <c r="P19" i="12"/>
  <c r="P18" i="12"/>
  <c r="P17" i="12"/>
  <c r="P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P15" i="12"/>
  <c r="P14" i="12"/>
  <c r="A14" i="12"/>
  <c r="A15" i="12" s="1"/>
  <c r="P13" i="12"/>
  <c r="A13" i="12"/>
  <c r="P12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P8" i="12"/>
  <c r="A8" i="12"/>
  <c r="A6" i="12"/>
  <c r="D40" i="11"/>
  <c r="E39" i="11"/>
  <c r="F39" i="11" s="1"/>
  <c r="G39" i="11" s="1"/>
  <c r="H39" i="11" s="1"/>
  <c r="I39" i="11" s="1"/>
  <c r="J39" i="11" s="1"/>
  <c r="K39" i="11" s="1"/>
  <c r="L39" i="11" s="1"/>
  <c r="L40" i="11" s="1"/>
  <c r="N38" i="11"/>
  <c r="L38" i="11"/>
  <c r="J38" i="11"/>
  <c r="H38" i="11"/>
  <c r="F38" i="11"/>
  <c r="F40" i="11" s="1"/>
  <c r="D38" i="11"/>
  <c r="C38" i="11"/>
  <c r="B38" i="11"/>
  <c r="O36" i="11"/>
  <c r="K36" i="11"/>
  <c r="G36" i="11"/>
  <c r="P35" i="11"/>
  <c r="P34" i="11"/>
  <c r="P33" i="11"/>
  <c r="P32" i="11"/>
  <c r="P31" i="11"/>
  <c r="P30" i="11"/>
  <c r="P29" i="11"/>
  <c r="P28" i="11"/>
  <c r="O27" i="11"/>
  <c r="O38" i="11" s="1"/>
  <c r="N27" i="11"/>
  <c r="M27" i="11"/>
  <c r="L27" i="11"/>
  <c r="K27" i="11"/>
  <c r="K38" i="11" s="1"/>
  <c r="J27" i="11"/>
  <c r="I27" i="11"/>
  <c r="H27" i="11"/>
  <c r="G27" i="11"/>
  <c r="G38" i="11" s="1"/>
  <c r="F27" i="11"/>
  <c r="E27" i="11"/>
  <c r="D27" i="11"/>
  <c r="P27" i="11" s="1"/>
  <c r="P26" i="11"/>
  <c r="P25" i="11"/>
  <c r="P24" i="11"/>
  <c r="P23" i="11"/>
  <c r="P22" i="11"/>
  <c r="P21" i="11"/>
  <c r="P20" i="11"/>
  <c r="P19" i="11"/>
  <c r="P18" i="11"/>
  <c r="P17" i="11"/>
  <c r="P16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P15" i="11"/>
  <c r="P14" i="11"/>
  <c r="A14" i="11"/>
  <c r="A15" i="11" s="1"/>
  <c r="P13" i="11"/>
  <c r="A13" i="11"/>
  <c r="P12" i="11"/>
  <c r="P36" i="11" s="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P8" i="11"/>
  <c r="A8" i="11"/>
  <c r="A6" i="11"/>
  <c r="P109" i="10"/>
  <c r="P108" i="10"/>
  <c r="P107" i="10"/>
  <c r="P106" i="10"/>
  <c r="P105" i="10"/>
  <c r="P104" i="10"/>
  <c r="P103" i="10"/>
  <c r="P102" i="10"/>
  <c r="P101" i="10"/>
  <c r="P99" i="10"/>
  <c r="P98" i="10"/>
  <c r="P97" i="10"/>
  <c r="P96" i="10"/>
  <c r="P95" i="10"/>
  <c r="P94" i="10"/>
  <c r="P93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P91" i="10"/>
  <c r="D133" i="5" s="1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D58" i="5" s="1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D97" i="5" s="1"/>
  <c r="P43" i="10"/>
  <c r="P42" i="10"/>
  <c r="P41" i="10"/>
  <c r="P40" i="10"/>
  <c r="P39" i="10"/>
  <c r="P38" i="10"/>
  <c r="P37" i="10"/>
  <c r="P36" i="10"/>
  <c r="D87" i="5" s="1"/>
  <c r="P35" i="10"/>
  <c r="P34" i="10"/>
  <c r="P33" i="10"/>
  <c r="P32" i="10"/>
  <c r="P31" i="10"/>
  <c r="P30" i="10"/>
  <c r="P29" i="10"/>
  <c r="P28" i="10"/>
  <c r="P27" i="10"/>
  <c r="P26" i="10"/>
  <c r="P25" i="10"/>
  <c r="P23" i="10"/>
  <c r="P20" i="10"/>
  <c r="P19" i="10"/>
  <c r="P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6" i="10"/>
  <c r="P14" i="10"/>
  <c r="A13" i="10"/>
  <c r="A14" i="10" s="1"/>
  <c r="A15" i="10" s="1"/>
  <c r="A8" i="10"/>
  <c r="A6" i="10"/>
  <c r="M54" i="9"/>
  <c r="M56" i="9" s="1"/>
  <c r="C54" i="9"/>
  <c r="B54" i="9"/>
  <c r="N52" i="9"/>
  <c r="J52" i="9"/>
  <c r="F52" i="9"/>
  <c r="I50" i="9"/>
  <c r="H50" i="9"/>
  <c r="G50" i="9"/>
  <c r="F50" i="9"/>
  <c r="E50" i="9"/>
  <c r="D50" i="9"/>
  <c r="P50" i="9" s="1"/>
  <c r="P49" i="9"/>
  <c r="P48" i="9"/>
  <c r="P47" i="9"/>
  <c r="P46" i="9"/>
  <c r="P45" i="9"/>
  <c r="O44" i="9"/>
  <c r="N44" i="9"/>
  <c r="M44" i="9"/>
  <c r="M52" i="9" s="1"/>
  <c r="L44" i="9"/>
  <c r="K44" i="9"/>
  <c r="J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I21" i="9"/>
  <c r="I52" i="9" s="1"/>
  <c r="H21" i="9"/>
  <c r="H52" i="9" s="1"/>
  <c r="G21" i="9"/>
  <c r="G52" i="9" s="1"/>
  <c r="G54" i="9" s="1"/>
  <c r="G55" i="9" s="1"/>
  <c r="F21" i="9"/>
  <c r="E21" i="9"/>
  <c r="E52" i="9" s="1"/>
  <c r="D21" i="9"/>
  <c r="P20" i="9"/>
  <c r="P19" i="9"/>
  <c r="P18" i="9"/>
  <c r="P17" i="9"/>
  <c r="A17" i="9"/>
  <c r="A18" i="9" s="1"/>
  <c r="A19" i="9" s="1"/>
  <c r="A20" i="9" s="1"/>
  <c r="A21" i="9" s="1"/>
  <c r="A22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P16" i="9"/>
  <c r="P15" i="9"/>
  <c r="A15" i="9"/>
  <c r="A16" i="9" s="1"/>
  <c r="P14" i="9"/>
  <c r="P13" i="9"/>
  <c r="P12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O9" i="9"/>
  <c r="N9" i="9"/>
  <c r="M9" i="9"/>
  <c r="L9" i="9"/>
  <c r="K9" i="9"/>
  <c r="J9" i="9"/>
  <c r="I9" i="9"/>
  <c r="H9" i="9"/>
  <c r="G9" i="9"/>
  <c r="F9" i="9"/>
  <c r="E9" i="9"/>
  <c r="D9" i="9"/>
  <c r="P8" i="9"/>
  <c r="I33" i="8"/>
  <c r="E33" i="8"/>
  <c r="O32" i="8"/>
  <c r="O34" i="8" s="1"/>
  <c r="I32" i="8"/>
  <c r="H32" i="8"/>
  <c r="H33" i="8" s="1"/>
  <c r="G32" i="8"/>
  <c r="G33" i="8" s="1"/>
  <c r="F32" i="8"/>
  <c r="F33" i="8" s="1"/>
  <c r="E32" i="8"/>
  <c r="D32" i="8"/>
  <c r="D33" i="8" s="1"/>
  <c r="C32" i="8"/>
  <c r="B32" i="8"/>
  <c r="L30" i="8"/>
  <c r="H30" i="8"/>
  <c r="D30" i="8"/>
  <c r="P28" i="8"/>
  <c r="P27" i="8"/>
  <c r="P26" i="8"/>
  <c r="P25" i="8"/>
  <c r="P24" i="8"/>
  <c r="P23" i="8"/>
  <c r="O22" i="8"/>
  <c r="O30" i="8" s="1"/>
  <c r="N22" i="8"/>
  <c r="M22" i="8"/>
  <c r="L22" i="8"/>
  <c r="K22" i="8"/>
  <c r="K30" i="8" s="1"/>
  <c r="K32" i="8" s="1"/>
  <c r="J22" i="8"/>
  <c r="P21" i="8"/>
  <c r="P20" i="8"/>
  <c r="P19" i="8"/>
  <c r="P18" i="8"/>
  <c r="P17" i="8"/>
  <c r="I16" i="8"/>
  <c r="H16" i="8"/>
  <c r="G16" i="8"/>
  <c r="F16" i="8"/>
  <c r="E16" i="8"/>
  <c r="D16" i="8"/>
  <c r="P16" i="8" s="1"/>
  <c r="P15" i="8"/>
  <c r="I14" i="8"/>
  <c r="I30" i="8" s="1"/>
  <c r="H14" i="8"/>
  <c r="G14" i="8"/>
  <c r="G30" i="8" s="1"/>
  <c r="F14" i="8"/>
  <c r="F30" i="8" s="1"/>
  <c r="E14" i="8"/>
  <c r="D14" i="8"/>
  <c r="P13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P12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O9" i="8"/>
  <c r="N9" i="8"/>
  <c r="M9" i="8"/>
  <c r="L9" i="8"/>
  <c r="K9" i="8"/>
  <c r="J9" i="8"/>
  <c r="I9" i="8"/>
  <c r="H9" i="8"/>
  <c r="G9" i="8"/>
  <c r="F9" i="8"/>
  <c r="E9" i="8"/>
  <c r="D9" i="8"/>
  <c r="P8" i="8"/>
  <c r="L42" i="7"/>
  <c r="I41" i="7"/>
  <c r="H41" i="7"/>
  <c r="E41" i="7"/>
  <c r="D41" i="7"/>
  <c r="N40" i="7"/>
  <c r="I40" i="7"/>
  <c r="H40" i="7"/>
  <c r="G40" i="7"/>
  <c r="G41" i="7" s="1"/>
  <c r="F40" i="7"/>
  <c r="F41" i="7" s="1"/>
  <c r="E40" i="7"/>
  <c r="D40" i="7"/>
  <c r="C40" i="7"/>
  <c r="B40" i="7"/>
  <c r="O38" i="7"/>
  <c r="K38" i="7"/>
  <c r="K40" i="7" s="1"/>
  <c r="K42" i="7" s="1"/>
  <c r="G38" i="7"/>
  <c r="P37" i="7"/>
  <c r="P36" i="7"/>
  <c r="P35" i="7"/>
  <c r="I34" i="7"/>
  <c r="H34" i="7"/>
  <c r="G34" i="7"/>
  <c r="F34" i="7"/>
  <c r="E34" i="7"/>
  <c r="P34" i="7" s="1"/>
  <c r="D34" i="7"/>
  <c r="P33" i="7"/>
  <c r="P32" i="7"/>
  <c r="P31" i="7"/>
  <c r="P30" i="7"/>
  <c r="O29" i="7"/>
  <c r="O40" i="7" s="1"/>
  <c r="O42" i="7" s="1"/>
  <c r="N29" i="7"/>
  <c r="M29" i="7"/>
  <c r="L29" i="7"/>
  <c r="L40" i="7" s="1"/>
  <c r="K29" i="7"/>
  <c r="J29" i="7"/>
  <c r="P28" i="7"/>
  <c r="P27" i="7"/>
  <c r="P26" i="7"/>
  <c r="P25" i="7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P24" i="7"/>
  <c r="P23" i="7"/>
  <c r="P22" i="7"/>
  <c r="P21" i="7"/>
  <c r="I20" i="7"/>
  <c r="H20" i="7"/>
  <c r="G20" i="7"/>
  <c r="F20" i="7"/>
  <c r="P20" i="7" s="1"/>
  <c r="E20" i="7"/>
  <c r="D20" i="7"/>
  <c r="P19" i="7"/>
  <c r="P18" i="7"/>
  <c r="I17" i="7"/>
  <c r="H17" i="7"/>
  <c r="H38" i="7" s="1"/>
  <c r="G17" i="7"/>
  <c r="F17" i="7"/>
  <c r="F38" i="7" s="1"/>
  <c r="E17" i="7"/>
  <c r="D17" i="7"/>
  <c r="D38" i="7" s="1"/>
  <c r="P16" i="7"/>
  <c r="P15" i="7"/>
  <c r="A15" i="7"/>
  <c r="A17" i="7" s="1"/>
  <c r="A18" i="7" s="1"/>
  <c r="A19" i="7" s="1"/>
  <c r="A20" i="7" s="1"/>
  <c r="A21" i="7" s="1"/>
  <c r="A22" i="7" s="1"/>
  <c r="A23" i="7" s="1"/>
  <c r="A24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A7" i="7"/>
  <c r="D111" i="6"/>
  <c r="I109" i="6"/>
  <c r="H109" i="6"/>
  <c r="G109" i="6"/>
  <c r="F109" i="6"/>
  <c r="E109" i="6"/>
  <c r="D109" i="6"/>
  <c r="P109" i="6" s="1"/>
  <c r="P108" i="6"/>
  <c r="P107" i="6"/>
  <c r="I106" i="6"/>
  <c r="H106" i="6"/>
  <c r="G106" i="6"/>
  <c r="F106" i="6"/>
  <c r="E106" i="6"/>
  <c r="D106" i="6"/>
  <c r="P106" i="6" s="1"/>
  <c r="P105" i="6"/>
  <c r="P104" i="6"/>
  <c r="D162" i="4" s="1"/>
  <c r="P103" i="6"/>
  <c r="P102" i="6"/>
  <c r="P101" i="6"/>
  <c r="P99" i="6"/>
  <c r="P98" i="6"/>
  <c r="P97" i="6"/>
  <c r="P96" i="6"/>
  <c r="P95" i="6"/>
  <c r="I94" i="6"/>
  <c r="H94" i="6"/>
  <c r="G94" i="6"/>
  <c r="F94" i="6"/>
  <c r="E94" i="6"/>
  <c r="D94" i="6"/>
  <c r="P94" i="6" s="1"/>
  <c r="D145" i="4" s="1"/>
  <c r="P93" i="6"/>
  <c r="P92" i="6"/>
  <c r="P91" i="6"/>
  <c r="P90" i="6"/>
  <c r="P89" i="6"/>
  <c r="P88" i="6"/>
  <c r="P87" i="6"/>
  <c r="P86" i="6"/>
  <c r="D128" i="4" s="1"/>
  <c r="P85" i="6"/>
  <c r="P84" i="6"/>
  <c r="P83" i="6"/>
  <c r="P82" i="6"/>
  <c r="D124" i="4" s="1"/>
  <c r="P81" i="6"/>
  <c r="P80" i="6"/>
  <c r="P79" i="6"/>
  <c r="P78" i="6"/>
  <c r="P77" i="6"/>
  <c r="P76" i="6"/>
  <c r="P75" i="6"/>
  <c r="P74" i="6"/>
  <c r="P73" i="6"/>
  <c r="P72" i="6"/>
  <c r="I71" i="6"/>
  <c r="H71" i="6"/>
  <c r="G71" i="6"/>
  <c r="F71" i="6"/>
  <c r="E71" i="6"/>
  <c r="D71" i="6"/>
  <c r="P70" i="6"/>
  <c r="P69" i="6"/>
  <c r="P68" i="6"/>
  <c r="P67" i="6"/>
  <c r="I66" i="6"/>
  <c r="H66" i="6"/>
  <c r="G66" i="6"/>
  <c r="F66" i="6"/>
  <c r="P66" i="6" s="1"/>
  <c r="D79" i="4" s="1"/>
  <c r="E66" i="6"/>
  <c r="D66" i="6"/>
  <c r="P65" i="6"/>
  <c r="P64" i="6"/>
  <c r="P63" i="6"/>
  <c r="P62" i="6"/>
  <c r="I61" i="6"/>
  <c r="H61" i="6"/>
  <c r="G61" i="6"/>
  <c r="F61" i="6"/>
  <c r="E61" i="6"/>
  <c r="P61" i="6" s="1"/>
  <c r="D61" i="6"/>
  <c r="P60" i="6"/>
  <c r="I59" i="6"/>
  <c r="H59" i="6"/>
  <c r="G59" i="6"/>
  <c r="F59" i="6"/>
  <c r="P59" i="6" s="1"/>
  <c r="D62" i="4" s="1"/>
  <c r="E59" i="6"/>
  <c r="D59" i="6"/>
  <c r="I58" i="6"/>
  <c r="H58" i="6"/>
  <c r="G58" i="6"/>
  <c r="F58" i="6"/>
  <c r="P58" i="6" s="1"/>
  <c r="D61" i="4" s="1"/>
  <c r="E58" i="6"/>
  <c r="D58" i="6"/>
  <c r="I57" i="6"/>
  <c r="H57" i="6"/>
  <c r="G57" i="6"/>
  <c r="F57" i="6"/>
  <c r="P57" i="6" s="1"/>
  <c r="D60" i="4" s="1"/>
  <c r="E57" i="6"/>
  <c r="D57" i="6"/>
  <c r="P56" i="6"/>
  <c r="P55" i="6"/>
  <c r="P54" i="6"/>
  <c r="I53" i="6"/>
  <c r="H53" i="6"/>
  <c r="G53" i="6"/>
  <c r="F53" i="6"/>
  <c r="E53" i="6"/>
  <c r="D53" i="6"/>
  <c r="P52" i="6"/>
  <c r="P51" i="6"/>
  <c r="P50" i="6"/>
  <c r="P49" i="6"/>
  <c r="P48" i="6"/>
  <c r="P47" i="6"/>
  <c r="I46" i="6"/>
  <c r="H46" i="6"/>
  <c r="G46" i="6"/>
  <c r="F46" i="6"/>
  <c r="E46" i="6"/>
  <c r="D46" i="6"/>
  <c r="P45" i="6"/>
  <c r="P44" i="6"/>
  <c r="D101" i="4" s="1"/>
  <c r="P43" i="6"/>
  <c r="P42" i="6"/>
  <c r="P41" i="6"/>
  <c r="P40" i="6"/>
  <c r="D96" i="4" s="1"/>
  <c r="P39" i="6"/>
  <c r="P38" i="6"/>
  <c r="P37" i="6"/>
  <c r="P36" i="6"/>
  <c r="D91" i="4" s="1"/>
  <c r="P35" i="6"/>
  <c r="P34" i="6"/>
  <c r="P33" i="6"/>
  <c r="P32" i="6"/>
  <c r="I31" i="6"/>
  <c r="H31" i="6"/>
  <c r="G31" i="6"/>
  <c r="F31" i="6"/>
  <c r="E31" i="6"/>
  <c r="P31" i="6" s="1"/>
  <c r="D31" i="6"/>
  <c r="I30" i="6"/>
  <c r="H30" i="6"/>
  <c r="G30" i="6"/>
  <c r="F30" i="6"/>
  <c r="E30" i="6"/>
  <c r="P30" i="6" s="1"/>
  <c r="D30" i="6"/>
  <c r="I29" i="6"/>
  <c r="H29" i="6"/>
  <c r="G29" i="6"/>
  <c r="F29" i="6"/>
  <c r="E29" i="6"/>
  <c r="D29" i="6"/>
  <c r="I28" i="6"/>
  <c r="I111" i="6" s="1"/>
  <c r="H28" i="6"/>
  <c r="G28" i="6"/>
  <c r="F28" i="6"/>
  <c r="E28" i="6"/>
  <c r="D28" i="6"/>
  <c r="P27" i="6"/>
  <c r="P26" i="6"/>
  <c r="P25" i="6"/>
  <c r="P24" i="6"/>
  <c r="P23" i="6"/>
  <c r="P22" i="6"/>
  <c r="D20" i="4" s="1"/>
  <c r="P21" i="6"/>
  <c r="P20" i="6"/>
  <c r="P19" i="6"/>
  <c r="P18" i="6"/>
  <c r="D16" i="4" s="1"/>
  <c r="P17" i="6"/>
  <c r="L16" i="6"/>
  <c r="K16" i="6"/>
  <c r="J16" i="6"/>
  <c r="J15" i="6"/>
  <c r="P14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I12" i="6"/>
  <c r="G12" i="6"/>
  <c r="F12" i="6"/>
  <c r="E12" i="6"/>
  <c r="D12" i="6"/>
  <c r="P8" i="6"/>
  <c r="P8" i="10" s="1"/>
  <c r="A8" i="6"/>
  <c r="A8" i="8" s="1"/>
  <c r="A7" i="6"/>
  <c r="A6" i="6"/>
  <c r="D167" i="5"/>
  <c r="D166" i="5"/>
  <c r="D162" i="5"/>
  <c r="D161" i="5"/>
  <c r="D160" i="5"/>
  <c r="D159" i="5"/>
  <c r="D158" i="5"/>
  <c r="D157" i="5"/>
  <c r="D156" i="5"/>
  <c r="D155" i="5"/>
  <c r="D153" i="5"/>
  <c r="D152" i="5"/>
  <c r="D149" i="5"/>
  <c r="D147" i="5"/>
  <c r="D146" i="5"/>
  <c r="D145" i="5"/>
  <c r="D141" i="5"/>
  <c r="D140" i="5"/>
  <c r="D142" i="5" s="1"/>
  <c r="D132" i="5"/>
  <c r="D131" i="5"/>
  <c r="D126" i="5"/>
  <c r="D125" i="5"/>
  <c r="D124" i="5"/>
  <c r="D123" i="5"/>
  <c r="D122" i="5"/>
  <c r="D121" i="5"/>
  <c r="D120" i="5"/>
  <c r="D119" i="5"/>
  <c r="D118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15" i="5" s="1"/>
  <c r="D99" i="5"/>
  <c r="D95" i="5"/>
  <c r="D94" i="5"/>
  <c r="D93" i="5"/>
  <c r="D92" i="5"/>
  <c r="D91" i="5"/>
  <c r="D89" i="5"/>
  <c r="D88" i="5"/>
  <c r="D86" i="5"/>
  <c r="D85" i="5"/>
  <c r="D83" i="5"/>
  <c r="D82" i="5"/>
  <c r="D81" i="5"/>
  <c r="D100" i="5" s="1"/>
  <c r="D75" i="5"/>
  <c r="D74" i="5"/>
  <c r="D67" i="5"/>
  <c r="D66" i="5"/>
  <c r="D65" i="5"/>
  <c r="D64" i="5"/>
  <c r="D70" i="5" s="1"/>
  <c r="D59" i="5"/>
  <c r="D57" i="5"/>
  <c r="D56" i="5"/>
  <c r="D55" i="5"/>
  <c r="D53" i="5"/>
  <c r="D60" i="5" s="1"/>
  <c r="D49" i="5"/>
  <c r="D48" i="5"/>
  <c r="D47" i="5"/>
  <c r="D46" i="5"/>
  <c r="D45" i="5"/>
  <c r="D44" i="5"/>
  <c r="D43" i="5"/>
  <c r="D42" i="5"/>
  <c r="D50" i="5" s="1"/>
  <c r="D40" i="5"/>
  <c r="D38" i="5"/>
  <c r="D33" i="5"/>
  <c r="D32" i="5"/>
  <c r="D34" i="5" s="1"/>
  <c r="D25" i="5"/>
  <c r="D24" i="5"/>
  <c r="D23" i="5"/>
  <c r="D22" i="5"/>
  <c r="D26" i="5" s="1"/>
  <c r="D18" i="5"/>
  <c r="D17" i="5"/>
  <c r="D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D15" i="5"/>
  <c r="D19" i="5" s="1"/>
  <c r="D28" i="5" s="1"/>
  <c r="A15" i="5"/>
  <c r="A14" i="5"/>
  <c r="D8" i="5"/>
  <c r="A7" i="5"/>
  <c r="D170" i="4"/>
  <c r="D171" i="4" s="1"/>
  <c r="D166" i="4"/>
  <c r="D165" i="4"/>
  <c r="D164" i="4"/>
  <c r="D163" i="4"/>
  <c r="D161" i="4"/>
  <c r="D160" i="4"/>
  <c r="D159" i="4"/>
  <c r="D157" i="4"/>
  <c r="D156" i="4"/>
  <c r="D151" i="4"/>
  <c r="D150" i="4"/>
  <c r="D153" i="4" s="1"/>
  <c r="D149" i="4"/>
  <c r="D144" i="4"/>
  <c r="D146" i="4" s="1"/>
  <c r="D138" i="4"/>
  <c r="D137" i="4"/>
  <c r="D136" i="4"/>
  <c r="D135" i="4"/>
  <c r="D139" i="4" s="1"/>
  <c r="D130" i="4"/>
  <c r="D129" i="4"/>
  <c r="D127" i="4"/>
  <c r="D126" i="4"/>
  <c r="D125" i="4"/>
  <c r="D123" i="4"/>
  <c r="D122" i="4"/>
  <c r="D118" i="4"/>
  <c r="D117" i="4"/>
  <c r="D116" i="4"/>
  <c r="D115" i="4"/>
  <c r="D114" i="4"/>
  <c r="D113" i="4"/>
  <c r="D112" i="4"/>
  <c r="D111" i="4"/>
  <c r="D109" i="4"/>
  <c r="D108" i="4"/>
  <c r="D107" i="4"/>
  <c r="D103" i="4"/>
  <c r="D99" i="4"/>
  <c r="D98" i="4"/>
  <c r="D97" i="4"/>
  <c r="D95" i="4"/>
  <c r="D93" i="4"/>
  <c r="D92" i="4"/>
  <c r="D90" i="4"/>
  <c r="D89" i="4"/>
  <c r="D87" i="4"/>
  <c r="D86" i="4"/>
  <c r="D104" i="4" s="1"/>
  <c r="D85" i="4"/>
  <c r="D80" i="4"/>
  <c r="D71" i="4"/>
  <c r="D70" i="4"/>
  <c r="D69" i="4"/>
  <c r="D68" i="4"/>
  <c r="D74" i="4" s="1"/>
  <c r="D63" i="4"/>
  <c r="D59" i="4"/>
  <c r="D57" i="4"/>
  <c r="D53" i="4"/>
  <c r="D51" i="4"/>
  <c r="D50" i="4"/>
  <c r="D49" i="4"/>
  <c r="D48" i="4"/>
  <c r="D47" i="4"/>
  <c r="D46" i="4"/>
  <c r="D42" i="4"/>
  <c r="D37" i="4"/>
  <c r="D28" i="4"/>
  <c r="D27" i="4"/>
  <c r="D26" i="4"/>
  <c r="D22" i="4"/>
  <c r="D21" i="4"/>
  <c r="D19" i="4"/>
  <c r="D18" i="4"/>
  <c r="D17" i="4"/>
  <c r="D15" i="4"/>
  <c r="D23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4" i="4"/>
  <c r="D8" i="4"/>
  <c r="H31" i="3"/>
  <c r="H33" i="3" s="1"/>
  <c r="D28" i="3"/>
  <c r="K24" i="3"/>
  <c r="O24" i="3" s="1"/>
  <c r="K23" i="3"/>
  <c r="O23" i="3" s="1"/>
  <c r="K18" i="3"/>
  <c r="O9" i="3"/>
  <c r="A9" i="3"/>
  <c r="A8" i="3"/>
  <c r="A7" i="3"/>
  <c r="G40" i="11" l="1"/>
  <c r="K40" i="11"/>
  <c r="M39" i="14"/>
  <c r="C53" i="15"/>
  <c r="H50" i="15"/>
  <c r="F66" i="15"/>
  <c r="K34" i="8"/>
  <c r="O54" i="13"/>
  <c r="N39" i="14"/>
  <c r="L67" i="14"/>
  <c r="J37" i="15"/>
  <c r="E38" i="15"/>
  <c r="L50" i="15"/>
  <c r="J66" i="15"/>
  <c r="M52" i="14"/>
  <c r="N42" i="7"/>
  <c r="P12" i="10"/>
  <c r="D173" i="5" s="1"/>
  <c r="K28" i="3" s="1"/>
  <c r="F28" i="3" s="1"/>
  <c r="M39" i="11"/>
  <c r="N39" i="11" s="1"/>
  <c r="O39" i="11" s="1"/>
  <c r="K54" i="13"/>
  <c r="L52" i="14"/>
  <c r="L20" i="14" s="1"/>
  <c r="F68" i="15"/>
  <c r="F23" i="15" s="1"/>
  <c r="N66" i="15"/>
  <c r="D22" i="3"/>
  <c r="D23" i="3"/>
  <c r="F23" i="3" s="1"/>
  <c r="D64" i="4"/>
  <c r="D132" i="4"/>
  <c r="D24" i="3"/>
  <c r="F24" i="3" s="1"/>
  <c r="K14" i="3"/>
  <c r="K19" i="3"/>
  <c r="K17" i="3"/>
  <c r="D17" i="3"/>
  <c r="M28" i="3"/>
  <c r="D128" i="5"/>
  <c r="E111" i="6"/>
  <c r="P28" i="6"/>
  <c r="D29" i="4" s="1"/>
  <c r="D30" i="4" s="1"/>
  <c r="D32" i="4" s="1"/>
  <c r="E54" i="9"/>
  <c r="E55" i="9" s="1"/>
  <c r="I54" i="9"/>
  <c r="I55" i="9" s="1"/>
  <c r="D76" i="5"/>
  <c r="D78" i="5" s="1"/>
  <c r="O18" i="3"/>
  <c r="P12" i="6"/>
  <c r="F111" i="6"/>
  <c r="H111" i="6"/>
  <c r="A8" i="9"/>
  <c r="A8" i="7"/>
  <c r="K15" i="6"/>
  <c r="D78" i="4"/>
  <c r="D82" i="4" s="1"/>
  <c r="G111" i="6"/>
  <c r="P29" i="6"/>
  <c r="P46" i="6"/>
  <c r="P53" i="6"/>
  <c r="D52" i="4" s="1"/>
  <c r="P71" i="6"/>
  <c r="A7" i="15"/>
  <c r="A7" i="13"/>
  <c r="A7" i="12"/>
  <c r="A7" i="11"/>
  <c r="A7" i="10"/>
  <c r="K52" i="9"/>
  <c r="O54" i="9"/>
  <c r="O56" i="9" s="1"/>
  <c r="O100" i="6" s="1"/>
  <c r="O52" i="9"/>
  <c r="F54" i="9"/>
  <c r="F55" i="9" s="1"/>
  <c r="O40" i="11"/>
  <c r="N40" i="11"/>
  <c r="F33" i="15"/>
  <c r="G33" i="15" s="1"/>
  <c r="H33" i="15" s="1"/>
  <c r="I33" i="15" s="1"/>
  <c r="J33" i="15" s="1"/>
  <c r="K33" i="15" s="1"/>
  <c r="L33" i="15" s="1"/>
  <c r="M33" i="15" s="1"/>
  <c r="N33" i="15" s="1"/>
  <c r="E35" i="15"/>
  <c r="A6" i="7"/>
  <c r="A6" i="8"/>
  <c r="M40" i="7"/>
  <c r="M42" i="7" s="1"/>
  <c r="M38" i="7"/>
  <c r="J54" i="9"/>
  <c r="J56" i="9" s="1"/>
  <c r="A7" i="8"/>
  <c r="A7" i="9"/>
  <c r="E38" i="7"/>
  <c r="P17" i="7"/>
  <c r="I38" i="7"/>
  <c r="E30" i="8"/>
  <c r="P14" i="8"/>
  <c r="A6" i="9"/>
  <c r="P21" i="9"/>
  <c r="P52" i="9" s="1"/>
  <c r="H54" i="9"/>
  <c r="H55" i="9" s="1"/>
  <c r="G34" i="12"/>
  <c r="L38" i="7"/>
  <c r="P22" i="8"/>
  <c r="M30" i="8"/>
  <c r="L32" i="8"/>
  <c r="L34" i="8" s="1"/>
  <c r="P44" i="9"/>
  <c r="N54" i="9"/>
  <c r="N56" i="9" s="1"/>
  <c r="C20" i="15"/>
  <c r="D20" i="15" s="1"/>
  <c r="E20" i="15" s="1"/>
  <c r="F20" i="15" s="1"/>
  <c r="K32" i="12"/>
  <c r="K34" i="12" s="1"/>
  <c r="K100" i="10" s="1"/>
  <c r="J30" i="8"/>
  <c r="N30" i="8"/>
  <c r="M32" i="8"/>
  <c r="M34" i="8" s="1"/>
  <c r="D52" i="9"/>
  <c r="L52" i="9"/>
  <c r="P92" i="10"/>
  <c r="E38" i="11"/>
  <c r="E40" i="11" s="1"/>
  <c r="E36" i="11"/>
  <c r="I38" i="11"/>
  <c r="I40" i="11" s="1"/>
  <c r="I36" i="11"/>
  <c r="M38" i="11"/>
  <c r="M40" i="11" s="1"/>
  <c r="M36" i="11"/>
  <c r="J40" i="11"/>
  <c r="H40" i="11"/>
  <c r="O32" i="12"/>
  <c r="O34" i="12" s="1"/>
  <c r="D52" i="13"/>
  <c r="D50" i="13"/>
  <c r="H52" i="13"/>
  <c r="H54" i="13" s="1"/>
  <c r="H50" i="13"/>
  <c r="L52" i="13"/>
  <c r="L54" i="13" s="1"/>
  <c r="L50" i="13"/>
  <c r="P42" i="13"/>
  <c r="P50" i="13" s="1"/>
  <c r="M67" i="14"/>
  <c r="N65" i="14"/>
  <c r="N67" i="14" s="1"/>
  <c r="P29" i="7"/>
  <c r="J38" i="7"/>
  <c r="N38" i="7"/>
  <c r="N32" i="8"/>
  <c r="N34" i="8" s="1"/>
  <c r="L54" i="9"/>
  <c r="L56" i="9" s="1"/>
  <c r="M21" i="14"/>
  <c r="D36" i="11"/>
  <c r="H36" i="11"/>
  <c r="L36" i="11"/>
  <c r="P22" i="12"/>
  <c r="P30" i="12" s="1"/>
  <c r="E30" i="12"/>
  <c r="I30" i="12"/>
  <c r="M30" i="12"/>
  <c r="D32" i="12"/>
  <c r="H32" i="12"/>
  <c r="H34" i="12" s="1"/>
  <c r="L32" i="12"/>
  <c r="L34" i="12" s="1"/>
  <c r="L100" i="10" s="1"/>
  <c r="E52" i="13"/>
  <c r="E54" i="13" s="1"/>
  <c r="E50" i="13"/>
  <c r="I52" i="13"/>
  <c r="I54" i="13" s="1"/>
  <c r="I50" i="13"/>
  <c r="M52" i="13"/>
  <c r="M54" i="13" s="1"/>
  <c r="M50" i="13"/>
  <c r="N21" i="14"/>
  <c r="L21" i="14"/>
  <c r="O39" i="14"/>
  <c r="E32" i="12"/>
  <c r="E34" i="12" s="1"/>
  <c r="I32" i="12"/>
  <c r="I34" i="12" s="1"/>
  <c r="M32" i="12"/>
  <c r="M34" i="12" s="1"/>
  <c r="F52" i="13"/>
  <c r="F54" i="13" s="1"/>
  <c r="F50" i="13"/>
  <c r="J52" i="13"/>
  <c r="J54" i="13" s="1"/>
  <c r="J50" i="13"/>
  <c r="N52" i="13"/>
  <c r="N54" i="13" s="1"/>
  <c r="N50" i="13"/>
  <c r="M20" i="14"/>
  <c r="I35" i="15"/>
  <c r="J32" i="15"/>
  <c r="K32" i="15" s="1"/>
  <c r="L32" i="15" s="1"/>
  <c r="M32" i="15" s="1"/>
  <c r="C21" i="15"/>
  <c r="O45" i="15"/>
  <c r="F36" i="11"/>
  <c r="J36" i="11"/>
  <c r="N36" i="11"/>
  <c r="F32" i="12"/>
  <c r="F34" i="12" s="1"/>
  <c r="F100" i="10" s="1"/>
  <c r="J32" i="12"/>
  <c r="J34" i="12" s="1"/>
  <c r="N32" i="12"/>
  <c r="N34" i="12" s="1"/>
  <c r="G50" i="13"/>
  <c r="K50" i="13"/>
  <c r="O50" i="13"/>
  <c r="G52" i="13"/>
  <c r="G54" i="13" s="1"/>
  <c r="N52" i="14"/>
  <c r="L22" i="14"/>
  <c r="I63" i="15"/>
  <c r="I68" i="15" s="1"/>
  <c r="I23" i="15" s="1"/>
  <c r="O15" i="15"/>
  <c r="E48" i="15"/>
  <c r="I48" i="15"/>
  <c r="M48" i="15"/>
  <c r="N51" i="15"/>
  <c r="J51" i="15"/>
  <c r="F51" i="15"/>
  <c r="M51" i="15"/>
  <c r="I51" i="15"/>
  <c r="E51" i="15"/>
  <c r="L51" i="15"/>
  <c r="L53" i="15" s="1"/>
  <c r="L21" i="15" s="1"/>
  <c r="H51" i="15"/>
  <c r="H53" i="15" s="1"/>
  <c r="H21" i="15" s="1"/>
  <c r="D51" i="15"/>
  <c r="D53" i="15" s="1"/>
  <c r="D21" i="15" s="1"/>
  <c r="C68" i="15"/>
  <c r="G63" i="15"/>
  <c r="G60" i="15"/>
  <c r="H60" i="15" s="1"/>
  <c r="I60" i="15" s="1"/>
  <c r="J60" i="15" s="1"/>
  <c r="K60" i="15" s="1"/>
  <c r="L60" i="15" s="1"/>
  <c r="M60" i="15" s="1"/>
  <c r="N60" i="15" s="1"/>
  <c r="N63" i="15" s="1"/>
  <c r="N68" i="15" s="1"/>
  <c r="N23" i="15" s="1"/>
  <c r="F35" i="15"/>
  <c r="J35" i="15"/>
  <c r="F48" i="15"/>
  <c r="J48" i="15"/>
  <c r="N48" i="15"/>
  <c r="G51" i="15"/>
  <c r="L63" i="15"/>
  <c r="O58" i="15"/>
  <c r="G35" i="15"/>
  <c r="K35" i="15"/>
  <c r="O29" i="15"/>
  <c r="O33" i="15"/>
  <c r="C40" i="15"/>
  <c r="K51" i="15"/>
  <c r="K53" i="15" s="1"/>
  <c r="K21" i="15" s="1"/>
  <c r="O28" i="15"/>
  <c r="G37" i="15"/>
  <c r="K37" i="15"/>
  <c r="F38" i="15"/>
  <c r="J38" i="15"/>
  <c r="N38" i="15"/>
  <c r="O46" i="15"/>
  <c r="E50" i="15"/>
  <c r="I50" i="15"/>
  <c r="M50" i="15"/>
  <c r="G66" i="15"/>
  <c r="K66" i="15"/>
  <c r="G38" i="15"/>
  <c r="K38" i="15"/>
  <c r="F50" i="15"/>
  <c r="J50" i="15"/>
  <c r="N50" i="15"/>
  <c r="O56" i="15"/>
  <c r="D66" i="15"/>
  <c r="D68" i="15" s="1"/>
  <c r="D23" i="15" s="1"/>
  <c r="H66" i="15"/>
  <c r="L66" i="15"/>
  <c r="E37" i="15"/>
  <c r="I37" i="15"/>
  <c r="D38" i="15"/>
  <c r="D40" i="15" s="1"/>
  <c r="D22" i="15" s="1"/>
  <c r="H38" i="15"/>
  <c r="G50" i="15"/>
  <c r="G53" i="15" s="1"/>
  <c r="G21" i="15" s="1"/>
  <c r="E66" i="15"/>
  <c r="E68" i="15" s="1"/>
  <c r="E23" i="15" s="1"/>
  <c r="I66" i="15"/>
  <c r="G68" i="15" l="1"/>
  <c r="G23" i="15" s="1"/>
  <c r="H100" i="10"/>
  <c r="M53" i="15"/>
  <c r="M21" i="15" s="1"/>
  <c r="N100" i="6"/>
  <c r="G100" i="10"/>
  <c r="N22" i="14"/>
  <c r="O67" i="14"/>
  <c r="D14" i="3"/>
  <c r="J53" i="15"/>
  <c r="J21" i="15" s="1"/>
  <c r="J40" i="15"/>
  <c r="J22" i="15" s="1"/>
  <c r="I53" i="15"/>
  <c r="I21" i="15" s="1"/>
  <c r="J63" i="15"/>
  <c r="J68" i="15" s="1"/>
  <c r="J23" i="15" s="1"/>
  <c r="J40" i="7"/>
  <c r="D54" i="13"/>
  <c r="P54" i="13" s="1"/>
  <c r="P52" i="13"/>
  <c r="J100" i="10"/>
  <c r="J32" i="8"/>
  <c r="G20" i="15"/>
  <c r="L100" i="6"/>
  <c r="P30" i="8"/>
  <c r="M100" i="6"/>
  <c r="L35" i="15"/>
  <c r="L40" i="15" s="1"/>
  <c r="L22" i="15" s="1"/>
  <c r="O100" i="10"/>
  <c r="K54" i="9"/>
  <c r="K56" i="9" s="1"/>
  <c r="L15" i="6"/>
  <c r="H23" i="2"/>
  <c r="J23" i="2" s="1"/>
  <c r="K21" i="3"/>
  <c r="F17" i="3"/>
  <c r="O17" i="3"/>
  <c r="F14" i="3"/>
  <c r="O14" i="3"/>
  <c r="N53" i="15"/>
  <c r="N21" i="15" s="1"/>
  <c r="L68" i="15"/>
  <c r="L23" i="15" s="1"/>
  <c r="K40" i="15"/>
  <c r="K22" i="15" s="1"/>
  <c r="H63" i="15"/>
  <c r="H68" i="15" s="1"/>
  <c r="H23" i="15" s="1"/>
  <c r="F53" i="15"/>
  <c r="F21" i="15" s="1"/>
  <c r="F25" i="15" s="1"/>
  <c r="G16" i="10" s="1"/>
  <c r="F40" i="15"/>
  <c r="F22" i="15" s="1"/>
  <c r="O60" i="15"/>
  <c r="C23" i="15"/>
  <c r="E53" i="15"/>
  <c r="E21" i="15" s="1"/>
  <c r="M35" i="15"/>
  <c r="M40" i="15" s="1"/>
  <c r="M22" i="15" s="1"/>
  <c r="N32" i="15"/>
  <c r="O48" i="15"/>
  <c r="O21" i="14"/>
  <c r="E100" i="10"/>
  <c r="P40" i="11"/>
  <c r="D54" i="9"/>
  <c r="D25" i="15"/>
  <c r="E16" i="10" s="1"/>
  <c r="H35" i="15"/>
  <c r="D36" i="4"/>
  <c r="D38" i="4" s="1"/>
  <c r="C22" i="15"/>
  <c r="G40" i="15"/>
  <c r="G22" i="15" s="1"/>
  <c r="K63" i="15"/>
  <c r="K68" i="15" s="1"/>
  <c r="K23" i="15" s="1"/>
  <c r="M63" i="15"/>
  <c r="M68" i="15" s="1"/>
  <c r="M23" i="15" s="1"/>
  <c r="N20" i="14"/>
  <c r="N24" i="14" s="1"/>
  <c r="O16" i="6" s="1"/>
  <c r="O21" i="15"/>
  <c r="I40" i="15"/>
  <c r="I22" i="15" s="1"/>
  <c r="O52" i="14"/>
  <c r="P32" i="12"/>
  <c r="D34" i="12"/>
  <c r="I100" i="10"/>
  <c r="E40" i="15"/>
  <c r="E22" i="15" s="1"/>
  <c r="D44" i="4"/>
  <c r="D54" i="4" s="1"/>
  <c r="D18" i="2"/>
  <c r="K20" i="3"/>
  <c r="L24" i="14"/>
  <c r="O20" i="14"/>
  <c r="M22" i="14"/>
  <c r="M24" i="14" s="1"/>
  <c r="N16" i="6" s="1"/>
  <c r="M100" i="10"/>
  <c r="D134" i="5"/>
  <c r="D135" i="5" s="1"/>
  <c r="P56" i="9"/>
  <c r="P38" i="7"/>
  <c r="N100" i="10"/>
  <c r="D110" i="4"/>
  <c r="D119" i="4" s="1"/>
  <c r="O19" i="3"/>
  <c r="D20" i="3"/>
  <c r="O53" i="15" l="1"/>
  <c r="F20" i="3"/>
  <c r="O20" i="3"/>
  <c r="M16" i="6"/>
  <c r="P16" i="6" s="1"/>
  <c r="O24" i="14"/>
  <c r="D19" i="3"/>
  <c r="F19" i="3" s="1"/>
  <c r="C25" i="15"/>
  <c r="H40" i="15"/>
  <c r="H22" i="15" s="1"/>
  <c r="O22" i="15" s="1"/>
  <c r="P54" i="9"/>
  <c r="D55" i="9"/>
  <c r="O22" i="14"/>
  <c r="F15" i="2"/>
  <c r="M15" i="6"/>
  <c r="L111" i="6"/>
  <c r="J34" i="8"/>
  <c r="P32" i="8"/>
  <c r="O63" i="15"/>
  <c r="K22" i="3"/>
  <c r="P55" i="9"/>
  <c r="P34" i="12"/>
  <c r="D100" i="10"/>
  <c r="D18" i="3"/>
  <c r="E25" i="15"/>
  <c r="F16" i="10" s="1"/>
  <c r="O21" i="3"/>
  <c r="H20" i="15"/>
  <c r="G25" i="15"/>
  <c r="H16" i="10" s="1"/>
  <c r="P53" i="13"/>
  <c r="D21" i="3"/>
  <c r="F21" i="3" s="1"/>
  <c r="O32" i="15"/>
  <c r="N35" i="15"/>
  <c r="N40" i="15" s="1"/>
  <c r="N22" i="15" s="1"/>
  <c r="O23" i="15"/>
  <c r="F18" i="2"/>
  <c r="J42" i="7"/>
  <c r="P40" i="7"/>
  <c r="H24" i="2"/>
  <c r="H26" i="2" s="1"/>
  <c r="O40" i="15"/>
  <c r="O68" i="15"/>
  <c r="K100" i="6"/>
  <c r="D15" i="2"/>
  <c r="K111" i="6" l="1"/>
  <c r="P100" i="10"/>
  <c r="M111" i="6"/>
  <c r="N15" i="6"/>
  <c r="J100" i="6"/>
  <c r="P42" i="7"/>
  <c r="P41" i="7" s="1"/>
  <c r="O35" i="15"/>
  <c r="O22" i="3"/>
  <c r="F22" i="3"/>
  <c r="P34" i="8"/>
  <c r="P33" i="8" s="1"/>
  <c r="D176" i="4"/>
  <c r="D27" i="3" s="1"/>
  <c r="D21" i="2" s="1"/>
  <c r="J18" i="2"/>
  <c r="I20" i="15"/>
  <c r="H25" i="15"/>
  <c r="I16" i="10" s="1"/>
  <c r="F18" i="3"/>
  <c r="J15" i="2"/>
  <c r="D16" i="10"/>
  <c r="P100" i="6" l="1"/>
  <c r="J111" i="6"/>
  <c r="D154" i="5"/>
  <c r="D163" i="5" s="1"/>
  <c r="J20" i="15"/>
  <c r="I25" i="15"/>
  <c r="J16" i="10" s="1"/>
  <c r="N111" i="6"/>
  <c r="O15" i="6"/>
  <c r="D158" i="4" l="1"/>
  <c r="D167" i="4" s="1"/>
  <c r="K20" i="15"/>
  <c r="J25" i="15"/>
  <c r="K25" i="3"/>
  <c r="D169" i="5"/>
  <c r="D15" i="10"/>
  <c r="O111" i="6"/>
  <c r="P15" i="6"/>
  <c r="E15" i="10" l="1"/>
  <c r="D110" i="10"/>
  <c r="K16" i="10"/>
  <c r="L20" i="15"/>
  <c r="K25" i="15"/>
  <c r="L16" i="10" s="1"/>
  <c r="D175" i="4"/>
  <c r="D26" i="3" s="1"/>
  <c r="D20" i="2" s="1"/>
  <c r="P111" i="6"/>
  <c r="O25" i="3"/>
  <c r="D25" i="3"/>
  <c r="D173" i="4"/>
  <c r="F19" i="2" l="1"/>
  <c r="D179" i="4"/>
  <c r="D181" i="4" s="1"/>
  <c r="D19" i="2"/>
  <c r="D24" i="2" s="1"/>
  <c r="D26" i="2" s="1"/>
  <c r="D30" i="2" s="1"/>
  <c r="D31" i="3"/>
  <c r="D33" i="3" s="1"/>
  <c r="F25" i="3"/>
  <c r="F15" i="10"/>
  <c r="E110" i="10"/>
  <c r="M20" i="15"/>
  <c r="L25" i="15"/>
  <c r="M16" i="10" s="1"/>
  <c r="G15" i="10" l="1"/>
  <c r="F110" i="10"/>
  <c r="J19" i="2"/>
  <c r="N20" i="15"/>
  <c r="N25" i="15" s="1"/>
  <c r="O16" i="10" s="1"/>
  <c r="M25" i="15"/>
  <c r="N16" i="10" l="1"/>
  <c r="P16" i="10" s="1"/>
  <c r="O25" i="15"/>
  <c r="H15" i="10"/>
  <c r="G110" i="10"/>
  <c r="I15" i="10" l="1"/>
  <c r="H110" i="10"/>
  <c r="D172" i="5"/>
  <c r="K27" i="3" l="1"/>
  <c r="J15" i="10"/>
  <c r="I110" i="10"/>
  <c r="K15" i="10" l="1"/>
  <c r="J110" i="10"/>
  <c r="F27" i="3"/>
  <c r="O27" i="3"/>
  <c r="F21" i="2" s="1"/>
  <c r="J21" i="2" s="1"/>
  <c r="L15" i="10" l="1"/>
  <c r="K110" i="10"/>
  <c r="M15" i="10" l="1"/>
  <c r="L110" i="10"/>
  <c r="N15" i="10" l="1"/>
  <c r="M110" i="10"/>
  <c r="O15" i="10" l="1"/>
  <c r="N110" i="10"/>
  <c r="O110" i="10" l="1"/>
  <c r="P15" i="10"/>
  <c r="D171" i="5" l="1"/>
  <c r="P110" i="10"/>
  <c r="K26" i="3" l="1"/>
  <c r="O26" i="3"/>
  <c r="D175" i="5"/>
  <c r="D177" i="5" s="1"/>
  <c r="F20" i="2" l="1"/>
  <c r="M26" i="3"/>
  <c r="M31" i="3" s="1"/>
  <c r="M33" i="3" s="1"/>
  <c r="O31" i="3"/>
  <c r="O33" i="3" s="1"/>
  <c r="F26" i="3"/>
  <c r="F31" i="3" s="1"/>
  <c r="F33" i="3" s="1"/>
  <c r="K31" i="3"/>
  <c r="K33" i="3" s="1"/>
  <c r="J20" i="2" l="1"/>
  <c r="J24" i="2" s="1"/>
  <c r="J26" i="2" s="1"/>
  <c r="J30" i="2" s="1"/>
  <c r="F24" i="2"/>
  <c r="F26" i="2" s="1"/>
  <c r="F30" i="2" s="1"/>
</calcChain>
</file>

<file path=xl/sharedStrings.xml><?xml version="1.0" encoding="utf-8"?>
<sst xmlns="http://schemas.openxmlformats.org/spreadsheetml/2006/main" count="1209" uniqueCount="388">
  <si>
    <t>FR 16(8)(c)                 SCHEDULE C</t>
  </si>
  <si>
    <t>Operating Income Summary</t>
  </si>
  <si>
    <t>Schedule</t>
  </si>
  <si>
    <t>Pages</t>
  </si>
  <si>
    <t>Description</t>
  </si>
  <si>
    <t>C-1</t>
  </si>
  <si>
    <t>C-2</t>
  </si>
  <si>
    <t>Adjusted Operating Income</t>
  </si>
  <si>
    <t>C-2.1</t>
  </si>
  <si>
    <t xml:space="preserve">Operating Revenue and Expenses by FERC Account </t>
  </si>
  <si>
    <t>C-2.2</t>
  </si>
  <si>
    <t>Monthly Operating Income by FERC Account</t>
  </si>
  <si>
    <t>C-2.3</t>
  </si>
  <si>
    <t>Taxes Other than Income Tax by Sub-Account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</si>
  <si>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</si>
  <si>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</si>
  <si>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</si>
  <si>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</si>
  <si>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</si>
  <si>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Base</t>
  </si>
  <si>
    <t>Forecasted</t>
  </si>
  <si>
    <t>Line</t>
  </si>
  <si>
    <t>Return at</t>
  </si>
  <si>
    <t>Proposed</t>
  </si>
  <si>
    <t>No.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</si>
  <si>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</si>
  <si>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</si>
  <si>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</si>
  <si>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</si>
  <si>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</si>
  <si>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</si>
  <si>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</si>
  <si>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</si>
  <si>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</si>
  <si>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</si>
  <si>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</si>
  <si>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</si>
  <si>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</si>
  <si>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</si>
  <si>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</si>
  <si>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</si>
  <si>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</si>
  <si>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</si>
  <si>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</si>
  <si>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</si>
  <si>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</si>
  <si>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</si>
  <si>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</si>
  <si>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</si>
  <si>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</si>
  <si>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</si>
  <si>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</si>
  <si>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</si>
  <si>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</si>
  <si>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</si>
  <si>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</si>
  <si>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</si>
  <si>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</si>
  <si>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</si>
  <si>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</si>
  <si>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</si>
  <si>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</si>
  <si>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</si>
  <si>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</si>
  <si>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</si>
  <si>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</si>
  <si>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</si>
  <si>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</si>
  <si>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</si>
  <si>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</si>
  <si>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</si>
  <si>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</si>
  <si>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</si>
  <si>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</si>
  <si>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</si>
  <si>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</si>
  <si>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</si>
  <si>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</si>
  <si>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</si>
  <si>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</si>
  <si>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</si>
  <si>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</si>
  <si>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</si>
  <si>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</si>
  <si>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</si>
  <si>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</si>
  <si>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</si>
  <si>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</si>
  <si>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</si>
  <si>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</si>
  <si>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</si>
  <si>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</si>
  <si>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</si>
  <si>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</si>
  <si>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</si>
  <si>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</si>
  <si>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</si>
  <si>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</si>
  <si>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</si>
  <si>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</si>
  <si>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</si>
  <si>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</si>
  <si>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</si>
  <si>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</si>
  <si>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</si>
  <si>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</si>
  <si>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</si>
  <si>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</si>
  <si>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</si>
  <si>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</si>
  <si>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</si>
  <si>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</si>
  <si>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</si>
  <si>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</si>
  <si>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</si>
  <si>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</si>
  <si>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</si>
  <si>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</si>
  <si>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</si>
  <si>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</si>
  <si>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</si>
  <si>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</si>
  <si>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</si>
  <si>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</si>
  <si>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</si>
  <si>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</si>
  <si>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</si>
  <si>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</si>
  <si>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</si>
  <si>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</si>
  <si>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</si>
  <si>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</si>
  <si>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</si>
  <si>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</si>
  <si>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</si>
  <si>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</si>
  <si>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</si>
  <si>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</si>
  <si>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</si>
  <si>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</si>
  <si>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</si>
  <si>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</si>
  <si>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</si>
  <si>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</si>
  <si>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</si>
  <si>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</si>
  <si>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</si>
  <si>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</si>
  <si>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</si>
  <si>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</si>
  <si>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</si>
  <si>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</si>
  <si>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</si>
  <si>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</si>
  <si>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</si>
  <si>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</si>
  <si>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</si>
  <si>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</si>
  <si>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</si>
  <si>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</si>
  <si>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</si>
  <si>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</si>
  <si>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</si>
  <si>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</si>
  <si>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</si>
  <si>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</si>
  <si>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</si>
  <si>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</si>
  <si>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</si>
  <si>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</si>
  <si>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</si>
  <si>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</si>
  <si>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</si>
  <si>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</si>
  <si>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</si>
  <si>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</si>
  <si>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</si>
  <si>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</si>
  <si>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</si>
  <si>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</si>
  <si>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</si>
  <si>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</si>
  <si>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</si>
  <si>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</si>
  <si>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</si>
  <si>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</si>
  <si>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</si>
  <si>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</si>
  <si>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</si>
  <si>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</si>
  <si>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</si>
  <si>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</si>
  <si>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</si>
  <si>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</si>
  <si>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</si>
  <si>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</si>
  <si>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</si>
  <si>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</si>
  <si>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</si>
  <si>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</si>
  <si>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</si>
  <si>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</si>
  <si>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</si>
  <si>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</si>
  <si>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</si>
  <si>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</si>
  <si>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</si>
  <si>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</si>
  <si>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</si>
  <si>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</si>
  <si>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</si>
  <si>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</si>
  <si>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</si>
  <si>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</si>
  <si>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</si>
  <si>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</si>
  <si>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</si>
  <si>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</si>
  <si>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</si>
  <si>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</si>
  <si>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</si>
  <si>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</si>
  <si>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Operating Revenue and Expenses by FERC Account</t>
  </si>
  <si>
    <t>Data:________Base Period___X____Forecasted Period</t>
  </si>
  <si>
    <t>Schedule C-2.1 F</t>
  </si>
  <si>
    <t>4893-4896</t>
  </si>
  <si>
    <t>Ng. Main. Supervision &amp; Engineering</t>
  </si>
  <si>
    <t>841/847</t>
  </si>
  <si>
    <t>Other Fuel &amp; Power for Compression</t>
  </si>
  <si>
    <t xml:space="preserve">      Other Gas Supply Expenses</t>
  </si>
  <si>
    <t>8950</t>
  </si>
  <si>
    <t>Maintenance of General Plant</t>
  </si>
  <si>
    <t>T O T A L  O P E R A T I N G  E X P E N S E</t>
  </si>
  <si>
    <t>N E T  O P E R A T I N G  I N C O M 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</si>
  <si>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</si>
  <si>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</si>
  <si>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</si>
  <si>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</si>
  <si>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</si>
  <si>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</si>
  <si>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</si>
  <si>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</si>
  <si>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</si>
  <si>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</si>
  <si>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 xml:space="preserve"> 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</si>
  <si>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</si>
  <si>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</si>
  <si>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</si>
  <si>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</si>
  <si>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</si>
  <si>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</si>
  <si>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</si>
  <si>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</si>
  <si>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</si>
  <si>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</si>
  <si>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</si>
  <si>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</si>
  <si>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</si>
  <si>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</si>
  <si>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</si>
  <si>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</si>
  <si>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</si>
  <si>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</si>
  <si>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</si>
  <si>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</si>
  <si>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</si>
  <si>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</si>
  <si>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</si>
  <si>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</si>
  <si>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</si>
  <si>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</si>
  <si>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</si>
  <si>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</si>
  <si>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</si>
  <si>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</si>
  <si>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</si>
  <si>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</si>
  <si>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</si>
  <si>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</si>
  <si>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</si>
  <si>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</si>
  <si>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</si>
  <si>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</si>
  <si>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</si>
  <si>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</si>
  <si>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</si>
  <si>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</si>
  <si>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</si>
  <si>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</si>
  <si>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</si>
  <si>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</si>
  <si>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</si>
  <si>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</si>
  <si>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</si>
  <si>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</si>
  <si>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</si>
  <si>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</si>
  <si>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</si>
  <si>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</si>
  <si>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</si>
  <si>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</si>
  <si>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</si>
  <si>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</si>
  <si>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</si>
  <si>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</si>
  <si>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</si>
  <si>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</si>
  <si>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</si>
  <si>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</si>
  <si>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</si>
  <si>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</si>
  <si>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</si>
  <si>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</si>
  <si>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</si>
  <si>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</si>
  <si>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</si>
  <si>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</si>
  <si>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</si>
  <si>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</si>
  <si>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</si>
  <si>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</si>
  <si>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</si>
  <si>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</si>
  <si>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</si>
  <si>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</si>
  <si>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</si>
  <si>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</si>
  <si>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</si>
  <si>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</si>
  <si>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</si>
  <si>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</si>
  <si>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</si>
  <si>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</si>
  <si>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</si>
  <si>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</si>
  <si>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</si>
  <si>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</si>
  <si>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</si>
  <si>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OM for KY-2017.xlsx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</si>
  <si>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</si>
  <si>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</si>
  <si>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</si>
  <si>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</si>
  <si>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</si>
  <si>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</si>
  <si>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</si>
  <si>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</si>
  <si>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</si>
  <si>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Revenue-Transportation Commercial</t>
  </si>
  <si>
    <t>A&amp;G-Administrative &amp; General Salaries</t>
  </si>
  <si>
    <t>Sales-Demonstrating and selling</t>
  </si>
  <si>
    <t>Distribution-Measuring and regulating station expenses-Genrl</t>
  </si>
  <si>
    <t>Account 4081-Taxes Other than Income Tax by Sub-Account</t>
  </si>
  <si>
    <t>FR 16(8)(c)2.3</t>
  </si>
  <si>
    <t>Schedule C-2.3 B</t>
  </si>
  <si>
    <t>Witness: Waller</t>
  </si>
  <si>
    <t>Discription</t>
  </si>
  <si>
    <t>Div 009</t>
  </si>
  <si>
    <t>FICA</t>
  </si>
  <si>
    <t>FUTA</t>
  </si>
  <si>
    <t>SUTA</t>
  </si>
  <si>
    <t>Payroll Tax Projects</t>
  </si>
  <si>
    <t>Ad Valorem - Accrual</t>
  </si>
  <si>
    <t>Dot Transmission User Tax</t>
  </si>
  <si>
    <t>Taxes Property and Other</t>
  </si>
  <si>
    <t>Public Service Commission Assessment</t>
  </si>
  <si>
    <t xml:space="preserve">Allocation for taxes other CSC </t>
  </si>
  <si>
    <t>Allocation from taxes other SS</t>
  </si>
  <si>
    <t>Allocation from taxes other Gen Office</t>
  </si>
  <si>
    <t>Div 002</t>
  </si>
  <si>
    <t>Ad Valorem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</si>
  <si>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</si>
  <si>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</si>
  <si>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</si>
  <si>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</si>
  <si>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</si>
  <si>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Div 012</t>
  </si>
  <si>
    <t>Div 091</t>
  </si>
  <si>
    <t>Occupational Licenses</t>
  </si>
  <si>
    <t>Schedule C-2.3 F</t>
  </si>
  <si>
    <t>Total Allocated Amount from Div 2</t>
  </si>
  <si>
    <t>Total Allocated Amount from Div 12</t>
  </si>
  <si>
    <t>Total Allocated Amount from Div 91</t>
  </si>
  <si>
    <t>Witness: Waller, Martin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</si>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</sst>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0.000000%"/>
  </numFmts>
  <fonts count="27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sz val="12"/>
      <color rgb="FF00B050"/>
      <name val="Helvetica-Narrow"/>
    </font>
    <font>
      <sz val="10"/>
      <color indexed="8"/>
      <name val="Arial"/>
      <family val="2"/>
    </font>
    <font>
      <b/>
      <sz val="11"/>
      <color indexed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7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/>
    <xf numFmtId="40" fontId="25" fillId="2" borderId="0">
      <alignment horizontal="right"/>
    </xf>
  </cellStyleXfs>
  <cellXfs count="309">
    <xf numFmtId="37" fontId="0" fillId="0" borderId="0" xfId="0"/>
    <xf numFmtId="37" fontId="1" fillId="0" borderId="1" xfId="0" applyFont="1" applyBorder="1" applyAlignment="1">
      <alignment horizontal="center"/>
    </xf>
    <xf numFmtId="37" fontId="1" fillId="0" borderId="1" xfId="0" applyFont="1" applyFill="1" applyBorder="1" applyAlignment="1">
      <alignment horizontal="center"/>
    </xf>
    <xf numFmtId="37" fontId="1" fillId="0" borderId="1" xfId="0" applyFont="1" applyBorder="1"/>
    <xf numFmtId="37" fontId="1" fillId="0" borderId="0" xfId="0" applyFont="1" applyAlignment="1">
      <alignment horizontal="center"/>
    </xf>
    <xf numFmtId="37" fontId="1" fillId="0" borderId="0" xfId="0" applyFont="1" applyFill="1"/>
    <xf numFmtId="37" fontId="1" fillId="0" borderId="0" xfId="0" applyFont="1"/>
    <xf numFmtId="37" fontId="1" fillId="0" borderId="0" xfId="0" applyFont="1" applyAlignment="1">
      <alignment horizontal="left" indent="1"/>
    </xf>
    <xf numFmtId="37" fontId="1" fillId="0" borderId="0" xfId="0" applyFont="1" applyFill="1" applyAlignment="1">
      <alignment horizontal="center"/>
    </xf>
    <xf numFmtId="37" fontId="0" fillId="0" borderId="0" xfId="0" applyFill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37" fontId="1" fillId="0" borderId="2" xfId="0" applyFont="1" applyFill="1" applyBorder="1" applyAlignment="1" applyProtection="1">
      <alignment horizontal="right"/>
    </xf>
    <xf numFmtId="37" fontId="1" fillId="0" borderId="0" xfId="0" applyFont="1" applyAlignment="1" applyProtection="1">
      <alignment horizontal="center"/>
    </xf>
    <xf numFmtId="37" fontId="3" fillId="0" borderId="0" xfId="0" applyFont="1"/>
    <xf numFmtId="37" fontId="1" fillId="0" borderId="2" xfId="0" applyFont="1" applyBorder="1" applyAlignment="1" applyProtection="1">
      <alignment horizontal="center"/>
    </xf>
    <xf numFmtId="37" fontId="4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Font="1" applyAlignment="1">
      <alignment horizontal="left"/>
    </xf>
    <xf numFmtId="37" fontId="5" fillId="0" borderId="0" xfId="0" applyFont="1"/>
    <xf numFmtId="164" fontId="1" fillId="0" borderId="0" xfId="2" applyNumberFormat="1" applyFont="1" applyFill="1" applyProtection="1"/>
    <xf numFmtId="37" fontId="1" fillId="0" borderId="0" xfId="0" applyNumberFormat="1" applyFont="1" applyProtection="1"/>
    <xf numFmtId="164" fontId="1" fillId="0" borderId="0" xfId="2" applyNumberFormat="1" applyFont="1" applyProtection="1"/>
    <xf numFmtId="165" fontId="3" fillId="0" borderId="0" xfId="3" applyNumberFormat="1" applyFont="1" applyProtection="1"/>
    <xf numFmtId="166" fontId="5" fillId="0" borderId="0" xfId="1" applyNumberFormat="1" applyFont="1" applyFill="1" applyProtection="1"/>
    <xf numFmtId="37" fontId="5" fillId="0" borderId="0" xfId="0" applyNumberFormat="1" applyFont="1" applyProtection="1"/>
    <xf numFmtId="166" fontId="3" fillId="0" borderId="0" xfId="1" applyNumberFormat="1" applyFont="1" applyFill="1" applyProtection="1"/>
    <xf numFmtId="37" fontId="1" fillId="0" borderId="0" xfId="0" applyNumberFormat="1" applyFont="1" applyFill="1" applyProtection="1"/>
    <xf numFmtId="37" fontId="3" fillId="0" borderId="0" xfId="0" applyNumberFormat="1" applyFont="1" applyProtection="1"/>
    <xf numFmtId="37" fontId="5" fillId="0" borderId="0" xfId="0" applyNumberFormat="1" applyFont="1" applyFill="1" applyProtection="1"/>
    <xf numFmtId="37" fontId="3" fillId="0" borderId="0" xfId="0" applyFont="1" applyFill="1"/>
    <xf numFmtId="37" fontId="3" fillId="0" borderId="0" xfId="0" applyNumberFormat="1" applyFont="1" applyFill="1" applyProtection="1"/>
    <xf numFmtId="37" fontId="1" fillId="0" borderId="0" xfId="0" applyFont="1" applyAlignment="1" applyProtection="1">
      <alignment horizontal="left" indent="1"/>
    </xf>
    <xf numFmtId="166" fontId="1" fillId="0" borderId="0" xfId="1" applyNumberFormat="1" applyFont="1" applyFill="1" applyProtection="1"/>
    <xf numFmtId="166" fontId="1" fillId="0" borderId="0" xfId="1" applyNumberFormat="1" applyFont="1" applyFill="1"/>
    <xf numFmtId="166" fontId="3" fillId="0" borderId="0" xfId="1" applyNumberFormat="1" applyFont="1" applyFill="1"/>
    <xf numFmtId="167" fontId="7" fillId="0" borderId="0" xfId="0" applyNumberFormat="1" applyFont="1" applyFill="1" applyProtection="1"/>
    <xf numFmtId="166" fontId="1" fillId="0" borderId="0" xfId="1" applyNumberFormat="1" applyFont="1" applyProtection="1"/>
    <xf numFmtId="167" fontId="1" fillId="0" borderId="0" xfId="0" applyNumberFormat="1" applyFont="1" applyProtection="1"/>
    <xf numFmtId="166" fontId="1" fillId="0" borderId="0" xfId="1" applyNumberFormat="1" applyFont="1"/>
    <xf numFmtId="166" fontId="3" fillId="0" borderId="0" xfId="1" applyNumberFormat="1" applyFont="1"/>
    <xf numFmtId="166" fontId="3" fillId="0" borderId="0" xfId="1" applyNumberFormat="1" applyFont="1" applyProtection="1"/>
    <xf numFmtId="166" fontId="1" fillId="0" borderId="2" xfId="1" applyNumberFormat="1" applyFont="1" applyFill="1" applyBorder="1" applyProtection="1"/>
    <xf numFmtId="166" fontId="1" fillId="0" borderId="1" xfId="1" applyNumberFormat="1" applyFont="1" applyBorder="1" applyProtection="1"/>
    <xf numFmtId="164" fontId="1" fillId="0" borderId="3" xfId="2" applyNumberFormat="1" applyFont="1" applyBorder="1" applyProtection="1"/>
    <xf numFmtId="164" fontId="1" fillId="0" borderId="3" xfId="2" applyNumberFormat="1" applyFont="1" applyFill="1" applyBorder="1" applyProtection="1"/>
    <xf numFmtId="10" fontId="1" fillId="0" borderId="0" xfId="0" applyNumberFormat="1" applyFont="1" applyBorder="1" applyProtection="1"/>
    <xf numFmtId="10" fontId="1" fillId="0" borderId="0" xfId="0" applyNumberFormat="1" applyFont="1" applyProtection="1"/>
    <xf numFmtId="10" fontId="3" fillId="0" borderId="0" xfId="0" applyNumberFormat="1" applyFont="1" applyBorder="1" applyProtection="1"/>
    <xf numFmtId="37" fontId="8" fillId="0" borderId="0" xfId="0" applyFont="1" applyAlignment="1">
      <alignment horizontal="right"/>
    </xf>
    <xf numFmtId="37" fontId="8" fillId="0" borderId="0" xfId="0" applyFont="1"/>
    <xf numFmtId="37" fontId="1" fillId="0" borderId="0" xfId="0" applyFont="1" applyProtection="1">
      <protection locked="0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Alignment="1" applyProtection="1">
      <alignment horizontal="right"/>
      <protection locked="0"/>
    </xf>
    <xf numFmtId="37" fontId="1" fillId="0" borderId="1" xfId="0" applyFont="1" applyBorder="1" applyAlignment="1" applyProtection="1">
      <alignment horizontal="left"/>
    </xf>
    <xf numFmtId="37" fontId="1" fillId="0" borderId="2" xfId="0" applyFont="1" applyBorder="1" applyAlignment="1" applyProtection="1">
      <alignment horizontal="left"/>
      <protection locked="0"/>
    </xf>
    <xf numFmtId="37" fontId="1" fillId="0" borderId="2" xfId="0" applyFont="1" applyBorder="1" applyAlignment="1" applyProtection="1">
      <alignment horizontal="right"/>
      <protection locked="0"/>
    </xf>
    <xf numFmtId="37" fontId="4" fillId="0" borderId="0" xfId="0" applyFont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0" borderId="2" xfId="0" applyFont="1" applyBorder="1" applyAlignment="1" applyProtection="1">
      <alignment horizontal="center"/>
      <protection locked="0"/>
    </xf>
    <xf numFmtId="37" fontId="1" fillId="0" borderId="2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4" fillId="0" borderId="0" xfId="0" applyFont="1"/>
    <xf numFmtId="37" fontId="1" fillId="0" borderId="0" xfId="0" applyFont="1" applyFill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4" fontId="1" fillId="0" borderId="0" xfId="2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37" fontId="1" fillId="0" borderId="0" xfId="0" applyNumberFormat="1" applyFont="1" applyFill="1" applyProtection="1">
      <protection locked="0"/>
    </xf>
    <xf numFmtId="37" fontId="1" fillId="0" borderId="0" xfId="0" applyNumberFormat="1" applyFont="1" applyProtection="1">
      <protection locked="0"/>
    </xf>
    <xf numFmtId="168" fontId="1" fillId="0" borderId="0" xfId="0" applyNumberFormat="1" applyFont="1" applyAlignment="1">
      <alignment horizontal="center"/>
    </xf>
    <xf numFmtId="37" fontId="1" fillId="0" borderId="0" xfId="0" applyNumberFormat="1" applyFont="1" applyFill="1"/>
    <xf numFmtId="166" fontId="1" fillId="0" borderId="0" xfId="1" applyNumberFormat="1" applyFont="1" applyFill="1" applyProtection="1">
      <protection locked="0"/>
    </xf>
    <xf numFmtId="166" fontId="1" fillId="0" borderId="0" xfId="1" quotePrefix="1" applyNumberFormat="1" applyFont="1" applyFill="1" applyProtection="1"/>
    <xf numFmtId="37" fontId="9" fillId="0" borderId="0" xfId="0" applyFont="1"/>
    <xf numFmtId="37" fontId="1" fillId="0" borderId="0" xfId="0" applyFont="1" applyAlignment="1" applyProtection="1">
      <alignment horizontal="left" indent="1"/>
      <protection locked="0"/>
    </xf>
    <xf numFmtId="166" fontId="1" fillId="0" borderId="0" xfId="1" quotePrefix="1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</xf>
    <xf numFmtId="169" fontId="9" fillId="0" borderId="0" xfId="0" applyNumberFormat="1" applyFont="1" applyProtection="1"/>
    <xf numFmtId="37" fontId="9" fillId="0" borderId="0" xfId="0" applyNumberFormat="1" applyFont="1" applyProtection="1">
      <protection locked="0"/>
    </xf>
    <xf numFmtId="37" fontId="1" fillId="0" borderId="0" xfId="0" applyFont="1" applyFill="1" applyAlignment="1" applyProtection="1">
      <alignment horizontal="left" indent="1"/>
      <protection locked="0"/>
    </xf>
    <xf numFmtId="10" fontId="9" fillId="0" borderId="0" xfId="0" applyNumberFormat="1" applyFont="1" applyProtection="1"/>
    <xf numFmtId="37" fontId="1" fillId="0" borderId="2" xfId="0" applyNumberFormat="1" applyFont="1" applyBorder="1" applyProtection="1"/>
    <xf numFmtId="37" fontId="1" fillId="0" borderId="2" xfId="0" applyNumberFormat="1" applyFont="1" applyBorder="1" applyProtection="1">
      <protection locked="0"/>
    </xf>
    <xf numFmtId="37" fontId="1" fillId="0" borderId="1" xfId="0" applyNumberFormat="1" applyFont="1" applyBorder="1" applyProtection="1">
      <protection locked="0"/>
    </xf>
    <xf numFmtId="37" fontId="1" fillId="0" borderId="1" xfId="0" applyNumberFormat="1" applyFont="1" applyBorder="1" applyProtection="1"/>
    <xf numFmtId="37" fontId="1" fillId="0" borderId="0" xfId="0" applyNumberFormat="1" applyFont="1"/>
    <xf numFmtId="169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quotePrefix="1" applyNumberFormat="1" applyFont="1" applyProtection="1"/>
    <xf numFmtId="37" fontId="5" fillId="0" borderId="0" xfId="0" applyFont="1" applyAlignment="1">
      <alignment horizontal="right"/>
    </xf>
    <xf numFmtId="37" fontId="5" fillId="0" borderId="0" xfId="0" quotePrefix="1" applyNumberFormat="1" applyFont="1" applyProtection="1"/>
    <xf numFmtId="37" fontId="10" fillId="0" borderId="0" xfId="0" quotePrefix="1" applyFont="1"/>
    <xf numFmtId="37" fontId="11" fillId="0" borderId="0" xfId="0" quotePrefix="1" applyFont="1"/>
    <xf numFmtId="37" fontId="1" fillId="0" borderId="0" xfId="0" applyFont="1" applyBorder="1"/>
    <xf numFmtId="37" fontId="5" fillId="0" borderId="0" xfId="0" applyNumberFormat="1" applyFont="1" applyBorder="1" applyProtection="1"/>
    <xf numFmtId="37" fontId="12" fillId="0" borderId="0" xfId="0" applyFont="1"/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>
      <alignment horizontal="centerContinuous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1" xfId="0" applyFont="1" applyBorder="1" applyAlignment="1">
      <alignment horizontal="right"/>
    </xf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Fill="1"/>
    <xf numFmtId="170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 indent="2"/>
      <protection locked="0"/>
    </xf>
    <xf numFmtId="164" fontId="12" fillId="0" borderId="0" xfId="2" applyNumberFormat="1" applyFont="1" applyFill="1" applyProtection="1"/>
    <xf numFmtId="10" fontId="12" fillId="0" borderId="0" xfId="3" applyNumberFormat="1" applyFont="1"/>
    <xf numFmtId="170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166" fontId="12" fillId="0" borderId="0" xfId="1" applyNumberFormat="1" applyFont="1" applyFill="1" applyProtection="1"/>
    <xf numFmtId="166" fontId="12" fillId="0" borderId="1" xfId="1" applyNumberFormat="1" applyFont="1" applyFill="1" applyBorder="1" applyProtection="1"/>
    <xf numFmtId="37" fontId="12" fillId="0" borderId="0" xfId="0" applyFont="1" applyAlignment="1">
      <alignment horizontal="center"/>
    </xf>
    <xf numFmtId="166" fontId="12" fillId="0" borderId="0" xfId="1" applyNumberFormat="1" applyFont="1" applyFill="1" applyProtection="1">
      <protection locked="0"/>
    </xf>
    <xf numFmtId="170" fontId="12" fillId="0" borderId="0" xfId="0" applyNumberFormat="1" applyFont="1" applyBorder="1" applyAlignment="1" applyProtection="1">
      <alignment horizontal="center"/>
      <protection locked="0"/>
    </xf>
    <xf numFmtId="37" fontId="12" fillId="0" borderId="0" xfId="0" applyFont="1" applyBorder="1" applyAlignment="1" applyProtection="1">
      <alignment horizontal="left" indent="2"/>
      <protection locked="0"/>
    </xf>
    <xf numFmtId="37" fontId="14" fillId="0" borderId="0" xfId="0" applyFont="1"/>
    <xf numFmtId="164" fontId="12" fillId="0" borderId="4" xfId="2" applyNumberFormat="1" applyFont="1" applyFill="1" applyBorder="1" applyProtection="1"/>
    <xf numFmtId="37" fontId="14" fillId="0" borderId="0" xfId="0" applyFont="1" applyFill="1"/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166" fontId="12" fillId="0" borderId="0" xfId="1" applyNumberFormat="1" applyFont="1" applyFill="1"/>
    <xf numFmtId="170" fontId="12" fillId="0" borderId="0" xfId="0" applyNumberFormat="1" applyFont="1" applyAlignment="1" applyProtection="1">
      <alignment horizontal="center"/>
    </xf>
    <xf numFmtId="166" fontId="12" fillId="0" borderId="0" xfId="1" applyNumberFormat="1" applyFont="1" applyFill="1" applyBorder="1" applyProtection="1"/>
    <xf numFmtId="37" fontId="12" fillId="0" borderId="0" xfId="0" applyFont="1" applyAlignment="1" applyProtection="1">
      <alignment horizontal="left" indent="1"/>
      <protection locked="0"/>
    </xf>
    <xf numFmtId="164" fontId="12" fillId="0" borderId="1" xfId="2" applyNumberFormat="1" applyFont="1" applyFill="1" applyBorder="1" applyProtection="1"/>
    <xf numFmtId="164" fontId="12" fillId="0" borderId="0" xfId="2" applyNumberFormat="1" applyFont="1" applyFill="1" applyBorder="1" applyProtection="1"/>
    <xf numFmtId="170" fontId="12" fillId="0" borderId="0" xfId="0" applyNumberFormat="1" applyFont="1" applyAlignment="1">
      <alignment horizontal="center"/>
    </xf>
    <xf numFmtId="37" fontId="12" fillId="0" borderId="0" xfId="0" applyFont="1" applyAlignment="1" applyProtection="1">
      <alignment horizontal="left" indent="2"/>
    </xf>
    <xf numFmtId="37" fontId="12" fillId="0" borderId="0" xfId="0" quotePrefix="1" applyFont="1" applyAlignment="1">
      <alignment horizontal="center"/>
    </xf>
    <xf numFmtId="37" fontId="16" fillId="0" borderId="0" xfId="0" applyFont="1"/>
    <xf numFmtId="0" fontId="1" fillId="0" borderId="0" xfId="0" applyNumberFormat="1" applyFont="1" applyAlignment="1">
      <alignment horizontal="center"/>
    </xf>
    <xf numFmtId="37" fontId="0" fillId="0" borderId="0" xfId="0" applyFont="1"/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NumberFormat="1" applyFont="1" applyFill="1" applyProtection="1"/>
    <xf numFmtId="169" fontId="12" fillId="0" borderId="0" xfId="3" applyNumberFormat="1" applyFont="1"/>
    <xf numFmtId="171" fontId="12" fillId="0" borderId="0" xfId="0" applyNumberFormat="1" applyFont="1" applyAlignment="1" applyProtection="1">
      <alignment horizontal="center"/>
      <protection locked="0"/>
    </xf>
    <xf numFmtId="164" fontId="12" fillId="0" borderId="0" xfId="2" applyNumberFormat="1" applyFont="1" applyFill="1" applyProtection="1">
      <protection locked="0"/>
    </xf>
    <xf numFmtId="164" fontId="15" fillId="0" borderId="0" xfId="2" applyNumberFormat="1" applyFont="1" applyFill="1" applyProtection="1"/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164" fontId="12" fillId="0" borderId="5" xfId="2" applyNumberFormat="1" applyFont="1" applyFill="1" applyBorder="1" applyProtection="1"/>
    <xf numFmtId="37" fontId="12" fillId="0" borderId="0" xfId="0" applyFont="1" applyAlignment="1" applyProtection="1"/>
    <xf numFmtId="37" fontId="1" fillId="0" borderId="0" xfId="0" applyFont="1" applyFill="1" applyAlignment="1" applyProtection="1">
      <alignment horizontal="center"/>
      <protection locked="0"/>
    </xf>
    <xf numFmtId="37" fontId="1" fillId="0" borderId="0" xfId="0" applyFont="1" applyAlignment="1" applyProtection="1">
      <alignment horizontal="centerContinuous"/>
      <protection locked="0"/>
    </xf>
    <xf numFmtId="37" fontId="1" fillId="0" borderId="0" xfId="0" applyFont="1" applyAlignment="1">
      <alignment horizontal="centerContinuous"/>
    </xf>
    <xf numFmtId="37" fontId="1" fillId="0" borderId="1" xfId="0" applyFont="1" applyBorder="1" applyAlignment="1">
      <alignment horizontal="right"/>
    </xf>
    <xf numFmtId="37" fontId="1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center"/>
      <protection locked="0"/>
    </xf>
    <xf numFmtId="37" fontId="4" fillId="0" borderId="0" xfId="0" applyFont="1" applyAlignment="1" applyProtection="1">
      <alignment horizontal="left"/>
      <protection locked="0"/>
    </xf>
    <xf numFmtId="10" fontId="1" fillId="0" borderId="0" xfId="3" applyNumberFormat="1" applyFont="1" applyBorder="1"/>
    <xf numFmtId="170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 indent="2"/>
      <protection locked="0"/>
    </xf>
    <xf numFmtId="164" fontId="1" fillId="0" borderId="0" xfId="2" applyNumberFormat="1" applyFont="1" applyFill="1" applyBorder="1" applyProtection="1"/>
    <xf numFmtId="166" fontId="1" fillId="0" borderId="0" xfId="1" applyNumberFormat="1" applyFont="1" applyFill="1" applyBorder="1" applyProtection="1"/>
    <xf numFmtId="37" fontId="9" fillId="0" borderId="0" xfId="0" applyFont="1" applyBorder="1"/>
    <xf numFmtId="166" fontId="1" fillId="0" borderId="1" xfId="1" applyNumberFormat="1" applyFont="1" applyFill="1" applyBorder="1" applyProtection="1"/>
    <xf numFmtId="170" fontId="1" fillId="0" borderId="0" xfId="0" applyNumberFormat="1" applyFont="1" applyBorder="1" applyAlignment="1" applyProtection="1">
      <alignment horizontal="center"/>
      <protection locked="0"/>
    </xf>
    <xf numFmtId="37" fontId="1" fillId="0" borderId="0" xfId="0" applyFont="1" applyBorder="1" applyAlignment="1" applyProtection="1">
      <alignment horizontal="left" indent="2"/>
      <protection locked="0"/>
    </xf>
    <xf numFmtId="164" fontId="1" fillId="0" borderId="4" xfId="2" applyNumberFormat="1" applyFont="1" applyFill="1" applyBorder="1" applyProtection="1"/>
    <xf numFmtId="164" fontId="1" fillId="0" borderId="0" xfId="2" applyNumberFormat="1" applyFont="1"/>
    <xf numFmtId="37" fontId="4" fillId="0" borderId="0" xfId="0" applyFont="1" applyAlignment="1" applyProtection="1">
      <alignment horizontal="left" indent="1"/>
      <protection locked="0"/>
    </xf>
    <xf numFmtId="170" fontId="1" fillId="0" borderId="0" xfId="0" applyNumberFormat="1" applyFont="1" applyAlignment="1" applyProtection="1">
      <alignment horizontal="center"/>
    </xf>
    <xf numFmtId="164" fontId="1" fillId="0" borderId="1" xfId="2" applyNumberFormat="1" applyFont="1" applyFill="1" applyBorder="1" applyProtection="1"/>
    <xf numFmtId="168" fontId="1" fillId="0" borderId="0" xfId="0" applyNumberFormat="1" applyFont="1"/>
    <xf numFmtId="37" fontId="1" fillId="0" borderId="0" xfId="0" applyNumberFormat="1" applyFont="1" applyFill="1" applyBorder="1" applyProtection="1"/>
    <xf numFmtId="170" fontId="1" fillId="0" borderId="0" xfId="0" applyNumberFormat="1" applyFont="1" applyAlignment="1">
      <alignment horizontal="center"/>
    </xf>
    <xf numFmtId="37" fontId="1" fillId="0" borderId="0" xfId="0" applyFont="1" applyAlignment="1" applyProtection="1">
      <alignment horizontal="left" indent="2"/>
    </xf>
    <xf numFmtId="37" fontId="1" fillId="0" borderId="0" xfId="0" quotePrefix="1" applyFont="1" applyAlignment="1">
      <alignment horizontal="center"/>
    </xf>
    <xf numFmtId="37" fontId="1" fillId="0" borderId="1" xfId="0" applyNumberFormat="1" applyFont="1" applyFill="1" applyBorder="1" applyProtection="1"/>
    <xf numFmtId="37" fontId="0" fillId="0" borderId="0" xfId="0" applyFont="1" applyBorder="1" applyAlignment="1" applyProtection="1">
      <alignment horizontal="left" indent="1"/>
      <protection locked="0"/>
    </xf>
    <xf numFmtId="170" fontId="1" fillId="0" borderId="0" xfId="0" quotePrefix="1" applyNumberFormat="1" applyFont="1" applyAlignment="1" applyProtection="1">
      <alignment horizontal="center"/>
      <protection locked="0"/>
    </xf>
    <xf numFmtId="171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/>
    <xf numFmtId="37" fontId="1" fillId="0" borderId="0" xfId="0" applyFont="1" applyAlignment="1" applyProtection="1">
      <protection locked="0"/>
    </xf>
    <xf numFmtId="164" fontId="1" fillId="0" borderId="5" xfId="2" applyNumberFormat="1" applyFont="1" applyFill="1" applyBorder="1" applyProtection="1"/>
    <xf numFmtId="37" fontId="1" fillId="0" borderId="0" xfId="0" applyFont="1" applyBorder="1" applyAlignment="1"/>
    <xf numFmtId="37" fontId="1" fillId="0" borderId="0" xfId="0" applyFont="1" applyFill="1" applyBorder="1"/>
    <xf numFmtId="37" fontId="1" fillId="0" borderId="0" xfId="0" applyFont="1" applyBorder="1" applyAlignment="1" applyProtection="1"/>
    <xf numFmtId="37" fontId="1" fillId="0" borderId="0" xfId="0" applyFont="1" applyAlignment="1" applyProtection="1"/>
    <xf numFmtId="37" fontId="17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9" fillId="0" borderId="0" xfId="0" applyFont="1" applyFill="1"/>
    <xf numFmtId="37" fontId="1" fillId="0" borderId="0" xfId="0" applyFont="1" applyFill="1" applyAlignment="1" applyProtection="1">
      <alignment horizontal="right"/>
      <protection locked="0"/>
    </xf>
    <xf numFmtId="37" fontId="1" fillId="0" borderId="1" xfId="0" applyFont="1" applyFill="1" applyBorder="1" applyAlignment="1" applyProtection="1">
      <alignment horizontal="left"/>
    </xf>
    <xf numFmtId="37" fontId="1" fillId="0" borderId="1" xfId="0" applyFont="1" applyFill="1" applyBorder="1"/>
    <xf numFmtId="37" fontId="1" fillId="0" borderId="2" xfId="0" applyFont="1" applyFill="1" applyBorder="1"/>
    <xf numFmtId="37" fontId="1" fillId="0" borderId="2" xfId="0" applyFont="1" applyFill="1" applyBorder="1" applyAlignment="1" applyProtection="1">
      <alignment horizontal="right"/>
      <protection locked="0"/>
    </xf>
    <xf numFmtId="37" fontId="1" fillId="0" borderId="6" xfId="0" applyFont="1" applyFill="1" applyBorder="1" applyAlignment="1">
      <alignment horizontal="center"/>
    </xf>
    <xf numFmtId="37" fontId="1" fillId="0" borderId="4" xfId="0" applyFont="1" applyFill="1" applyBorder="1" applyAlignment="1">
      <alignment horizontal="center"/>
    </xf>
    <xf numFmtId="37" fontId="1" fillId="0" borderId="4" xfId="0" applyFont="1" applyFill="1" applyBorder="1" applyAlignment="1" applyProtection="1">
      <alignment horizontal="center"/>
      <protection locked="0"/>
    </xf>
    <xf numFmtId="37" fontId="9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1" fillId="0" borderId="7" xfId="0" applyFont="1" applyFill="1" applyBorder="1" applyAlignment="1">
      <alignment horizontal="center"/>
    </xf>
    <xf numFmtId="37" fontId="1" fillId="0" borderId="1" xfId="0" applyFon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>
      <alignment horizontal="center"/>
    </xf>
    <xf numFmtId="37" fontId="1" fillId="0" borderId="8" xfId="0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8" fillId="0" borderId="0" xfId="0" applyFont="1"/>
    <xf numFmtId="37" fontId="12" fillId="0" borderId="0" xfId="0" applyFont="1" applyFill="1" applyAlignment="1">
      <alignment horizontal="right"/>
    </xf>
    <xf numFmtId="37" fontId="18" fillId="0" borderId="0" xfId="0" applyFont="1" applyFill="1"/>
    <xf numFmtId="170" fontId="1" fillId="0" borderId="0" xfId="0" applyNumberFormat="1" applyFont="1" applyFill="1" applyAlignment="1">
      <alignment horizontal="left"/>
    </xf>
    <xf numFmtId="37" fontId="19" fillId="0" borderId="0" xfId="0" applyFont="1" applyFill="1"/>
    <xf numFmtId="37" fontId="19" fillId="0" borderId="0" xfId="0" applyFont="1"/>
    <xf numFmtId="37" fontId="17" fillId="0" borderId="0" xfId="0" applyFont="1"/>
    <xf numFmtId="37" fontId="20" fillId="0" borderId="0" xfId="0" applyFont="1"/>
    <xf numFmtId="170" fontId="17" fillId="0" borderId="0" xfId="0" applyNumberFormat="1" applyFont="1" applyAlignment="1" applyProtection="1">
      <alignment horizontal="left"/>
      <protection locked="0"/>
    </xf>
    <xf numFmtId="0" fontId="17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Border="1" applyProtection="1">
      <protection locked="0"/>
    </xf>
    <xf numFmtId="37" fontId="1" fillId="0" borderId="0" xfId="0" quotePrefix="1" applyFont="1" applyFill="1"/>
    <xf numFmtId="37" fontId="16" fillId="0" borderId="0" xfId="0" applyNumberFormat="1" applyFont="1" applyFill="1" applyBorder="1" applyProtection="1">
      <protection locked="0"/>
    </xf>
    <xf numFmtId="43" fontId="21" fillId="0" borderId="0" xfId="1" applyFont="1"/>
    <xf numFmtId="43" fontId="21" fillId="0" borderId="0" xfId="1" applyFont="1" applyFill="1"/>
    <xf numFmtId="5" fontId="1" fillId="0" borderId="3" xfId="0" applyNumberFormat="1" applyFont="1" applyBorder="1"/>
    <xf numFmtId="166" fontId="1" fillId="0" borderId="3" xfId="0" applyNumberFormat="1" applyFont="1" applyBorder="1"/>
    <xf numFmtId="5" fontId="1" fillId="0" borderId="0" xfId="0" applyNumberFormat="1" applyFont="1" applyBorder="1"/>
    <xf numFmtId="37" fontId="1" fillId="2" borderId="0" xfId="0" applyFont="1" applyFill="1"/>
    <xf numFmtId="10" fontId="1" fillId="0" borderId="0" xfId="3" applyNumberFormat="1" applyFont="1"/>
    <xf numFmtId="37" fontId="1" fillId="3" borderId="0" xfId="0" applyFont="1" applyFill="1"/>
    <xf numFmtId="37" fontId="0" fillId="3" borderId="0" xfId="0" applyFill="1"/>
    <xf numFmtId="39" fontId="0" fillId="0" borderId="0" xfId="0" applyNumberFormat="1"/>
    <xf numFmtId="37" fontId="1" fillId="0" borderId="0" xfId="0" applyFont="1" applyFill="1" applyAlignment="1">
      <alignment horizontal="centerContinuous"/>
    </xf>
    <xf numFmtId="37" fontId="4" fillId="0" borderId="0" xfId="0" applyFont="1" applyFill="1" applyAlignment="1">
      <alignment horizontal="centerContinuous"/>
    </xf>
    <xf numFmtId="37" fontId="22" fillId="0" borderId="0" xfId="0" applyFont="1" applyFill="1"/>
    <xf numFmtId="37" fontId="9" fillId="0" borderId="0" xfId="0" applyFont="1" applyFill="1" applyAlignment="1">
      <alignment horizontal="left"/>
    </xf>
    <xf numFmtId="37" fontId="1" fillId="0" borderId="2" xfId="0" applyFont="1" applyFill="1" applyBorder="1" applyAlignment="1" applyProtection="1">
      <alignment horizontal="left"/>
    </xf>
    <xf numFmtId="37" fontId="1" fillId="0" borderId="9" xfId="0" applyFont="1" applyFill="1" applyBorder="1" applyAlignment="1" applyProtection="1">
      <alignment horizontal="center"/>
      <protection locked="0"/>
    </xf>
    <xf numFmtId="17" fontId="1" fillId="0" borderId="8" xfId="0" applyNumberFormat="1" applyFont="1" applyFill="1" applyBorder="1" applyAlignment="1">
      <alignment horizontal="center"/>
    </xf>
    <xf numFmtId="166" fontId="1" fillId="0" borderId="0" xfId="0" applyNumberFormat="1" applyFont="1" applyFill="1"/>
    <xf numFmtId="0" fontId="21" fillId="0" borderId="0" xfId="4" applyFont="1" applyFill="1"/>
    <xf numFmtId="5" fontId="1" fillId="0" borderId="3" xfId="0" applyNumberFormat="1" applyFont="1" applyFill="1" applyBorder="1"/>
    <xf numFmtId="166" fontId="1" fillId="0" borderId="0" xfId="1" applyNumberFormat="1" applyFont="1" applyFill="1" applyAlignment="1">
      <alignment horizontal="center"/>
    </xf>
    <xf numFmtId="37" fontId="1" fillId="0" borderId="0" xfId="0" applyFont="1" applyFill="1" applyAlignment="1">
      <alignment horizontal="left" indent="1"/>
    </xf>
    <xf numFmtId="10" fontId="1" fillId="0" borderId="1" xfId="3" applyNumberFormat="1" applyFont="1" applyFill="1" applyBorder="1"/>
    <xf numFmtId="37" fontId="9" fillId="0" borderId="0" xfId="0" applyFont="1" applyFill="1" applyBorder="1"/>
    <xf numFmtId="37" fontId="1" fillId="0" borderId="0" xfId="0" applyFont="1" applyFill="1" applyBorder="1" applyAlignment="1">
      <alignment horizontal="right"/>
    </xf>
    <xf numFmtId="43" fontId="1" fillId="0" borderId="0" xfId="1" applyFont="1" applyFill="1"/>
    <xf numFmtId="37" fontId="0" fillId="0" borderId="0" xfId="0" applyFont="1" applyFill="1" applyAlignment="1">
      <alignment horizontal="center"/>
    </xf>
    <xf numFmtId="10" fontId="1" fillId="0" borderId="0" xfId="3" applyNumberFormat="1" applyFont="1" applyFill="1"/>
    <xf numFmtId="37" fontId="1" fillId="0" borderId="0" xfId="0" applyFont="1" applyFill="1" applyBorder="1" applyAlignment="1">
      <alignment horizontal="center"/>
    </xf>
    <xf numFmtId="5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166" fontId="1" fillId="0" borderId="0" xfId="1" applyNumberFormat="1" applyFont="1" applyFill="1" applyAlignment="1">
      <alignment horizontal="left"/>
    </xf>
    <xf numFmtId="5" fontId="23" fillId="0" borderId="0" xfId="1" applyNumberFormat="1" applyFont="1" applyFill="1" applyBorder="1"/>
    <xf numFmtId="170" fontId="1" fillId="0" borderId="0" xfId="0" applyNumberFormat="1" applyFont="1" applyFill="1" applyAlignment="1" applyProtection="1">
      <alignment horizontal="left"/>
      <protection locked="0"/>
    </xf>
    <xf numFmtId="37" fontId="0" fillId="0" borderId="0" xfId="0" quotePrefix="1" applyFont="1" applyFill="1"/>
    <xf numFmtId="0" fontId="1" fillId="0" borderId="0" xfId="0" quotePrefix="1" applyNumberFormat="1" applyFont="1" applyFill="1" applyAlignment="1">
      <alignment horizontal="center"/>
    </xf>
    <xf numFmtId="169" fontId="23" fillId="0" borderId="0" xfId="3" applyNumberFormat="1" applyFont="1" applyFill="1"/>
    <xf numFmtId="39" fontId="1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1" fillId="0" borderId="0" xfId="0" applyNumberFormat="1" applyFont="1" applyFill="1"/>
    <xf numFmtId="39" fontId="9" fillId="0" borderId="0" xfId="0" applyNumberFormat="1" applyFont="1" applyFill="1"/>
    <xf numFmtId="37" fontId="0" fillId="0" borderId="4" xfId="0" applyFill="1" applyBorder="1" applyAlignment="1">
      <alignment horizontal="center"/>
    </xf>
    <xf numFmtId="37" fontId="1" fillId="0" borderId="10" xfId="0" applyFont="1" applyFill="1" applyBorder="1" applyAlignment="1">
      <alignment horizontal="center"/>
    </xf>
    <xf numFmtId="37" fontId="1" fillId="0" borderId="0" xfId="0" applyFont="1" applyFill="1" applyAlignment="1" applyProtection="1">
      <alignment horizontal="left"/>
      <protection locked="0"/>
    </xf>
    <xf numFmtId="37" fontId="24" fillId="0" borderId="0" xfId="0" applyFont="1" applyFill="1"/>
    <xf numFmtId="168" fontId="0" fillId="0" borderId="0" xfId="0" applyNumberFormat="1" applyFill="1"/>
    <xf numFmtId="37" fontId="9" fillId="0" borderId="0" xfId="0" quotePrefix="1" applyFont="1" applyFill="1"/>
    <xf numFmtId="37" fontId="0" fillId="0" borderId="0" xfId="0" applyFill="1" applyAlignment="1">
      <alignment horizontal="right"/>
    </xf>
    <xf numFmtId="37" fontId="17" fillId="0" borderId="0" xfId="0" applyFont="1" applyFill="1"/>
    <xf numFmtId="37" fontId="1" fillId="0" borderId="6" xfId="0" applyFont="1" applyFill="1" applyBorder="1"/>
    <xf numFmtId="37" fontId="1" fillId="0" borderId="4" xfId="0" applyFont="1" applyFill="1" applyBorder="1"/>
    <xf numFmtId="37" fontId="1" fillId="0" borderId="4" xfId="0" applyFont="1" applyFill="1" applyBorder="1" applyAlignment="1" applyProtection="1">
      <alignment horizontal="left"/>
      <protection locked="0"/>
    </xf>
    <xf numFmtId="37" fontId="1" fillId="0" borderId="7" xfId="0" applyFont="1" applyFill="1" applyBorder="1"/>
    <xf numFmtId="37" fontId="1" fillId="0" borderId="1" xfId="0" applyFont="1" applyFill="1" applyBorder="1" applyAlignment="1" applyProtection="1">
      <alignment horizontal="left"/>
      <protection locked="0"/>
    </xf>
    <xf numFmtId="167" fontId="1" fillId="0" borderId="0" xfId="3" applyNumberFormat="1" applyFont="1" applyFill="1"/>
    <xf numFmtId="173" fontId="1" fillId="0" borderId="0" xfId="3" applyNumberFormat="1" applyFont="1" applyFill="1"/>
    <xf numFmtId="10" fontId="1" fillId="0" borderId="0" xfId="3" applyNumberFormat="1" applyFont="1" applyFill="1" applyBorder="1"/>
    <xf numFmtId="37" fontId="18" fillId="0" borderId="0" xfId="0" applyFont="1" applyFill="1" applyBorder="1" applyAlignment="1">
      <alignment horizontal="centerContinuous"/>
    </xf>
    <xf numFmtId="37" fontId="1" fillId="0" borderId="2" xfId="0" applyFont="1" applyFill="1" applyBorder="1" applyAlignment="1" applyProtection="1">
      <alignment horizontal="left"/>
      <protection locked="0"/>
    </xf>
    <xf numFmtId="37" fontId="1" fillId="0" borderId="11" xfId="0" applyFont="1" applyFill="1" applyBorder="1" applyAlignment="1" applyProtection="1">
      <alignment horizontal="center"/>
      <protection locked="0"/>
    </xf>
    <xf numFmtId="37" fontId="2" fillId="0" borderId="0" xfId="0" applyFont="1" applyFill="1" applyBorder="1" applyAlignment="1" applyProtection="1">
      <alignment horizontal="left"/>
    </xf>
    <xf numFmtId="164" fontId="1" fillId="0" borderId="0" xfId="2" applyNumberFormat="1" applyFont="1" applyFill="1"/>
    <xf numFmtId="9" fontId="1" fillId="0" borderId="0" xfId="3" applyFont="1" applyFill="1"/>
    <xf numFmtId="164" fontId="1" fillId="0" borderId="11" xfId="2" applyNumberFormat="1" applyFont="1" applyFill="1" applyBorder="1"/>
    <xf numFmtId="166" fontId="1" fillId="0" borderId="0" xfId="1" applyNumberFormat="1" applyFont="1" applyFill="1" applyAlignment="1">
      <alignment horizontal="right"/>
    </xf>
    <xf numFmtId="37" fontId="1" fillId="0" borderId="0" xfId="0" applyFont="1" applyFill="1" applyBorder="1" applyAlignment="1">
      <alignment horizontal="centerContinuous"/>
    </xf>
    <xf numFmtId="37" fontId="1" fillId="0" borderId="2" xfId="0" applyFont="1" applyFill="1" applyBorder="1" applyAlignment="1" applyProtection="1">
      <protection locked="0"/>
    </xf>
    <xf numFmtId="172" fontId="1" fillId="0" borderId="8" xfId="0" applyNumberFormat="1" applyFont="1" applyFill="1" applyBorder="1" applyAlignment="1" applyProtection="1">
      <alignment horizontal="center"/>
      <protection locked="0"/>
    </xf>
    <xf numFmtId="166" fontId="9" fillId="0" borderId="0" xfId="1" applyNumberFormat="1" applyFont="1" applyFill="1"/>
    <xf numFmtId="9" fontId="9" fillId="0" borderId="0" xfId="3" applyFont="1" applyFill="1"/>
    <xf numFmtId="167" fontId="9" fillId="0" borderId="0" xfId="3" applyNumberFormat="1" applyFont="1" applyFill="1"/>
    <xf numFmtId="166" fontId="1" fillId="0" borderId="11" xfId="1" applyNumberFormat="1" applyFont="1" applyFill="1" applyBorder="1"/>
    <xf numFmtId="40" fontId="26" fillId="0" borderId="0" xfId="5" applyFont="1" applyFill="1" applyBorder="1" applyAlignment="1">
      <alignment horizontal="left"/>
    </xf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1" fillId="0" borderId="0" xfId="0" applyFont="1" applyFill="1" applyAlignment="1" applyProtection="1">
      <alignment horizontal="center"/>
      <protection locked="0"/>
    </xf>
    <xf numFmtId="37" fontId="1" fillId="0" borderId="0" xfId="0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C.2.2 B" xfId="4"/>
    <cellStyle name="Output Amounts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60" zoomScaleNormal="100" workbookViewId="0">
      <selection sqref="A1:C1"/>
    </sheetView>
  </sheetViews>
  <sheetFormatPr defaultRowHeight="15"/>
  <cols>
    <col min="1" max="1" width="13.109375" customWidth="1"/>
    <col min="3" max="3" width="51.21875" customWidth="1"/>
  </cols>
  <sheetData>
    <row r="1" spans="1:3">
      <c r="A1" s="302" t="s">
        <v>384</v>
      </c>
      <c r="B1" s="302"/>
      <c r="C1" s="302"/>
    </row>
    <row r="2" spans="1:3">
      <c r="A2" s="302" t="s">
        <v>385</v>
      </c>
      <c r="B2" s="302"/>
      <c r="C2" s="302"/>
    </row>
    <row r="3" spans="1:3">
      <c r="A3" s="302" t="s">
        <v>386</v>
      </c>
      <c r="B3" s="302"/>
      <c r="C3" s="302"/>
    </row>
    <row r="4" spans="1:3">
      <c r="A4" s="302" t="s">
        <v>387</v>
      </c>
      <c r="B4" s="302"/>
      <c r="C4" s="302"/>
    </row>
    <row r="9" spans="1:3" ht="15.75">
      <c r="A9" s="303" t="s">
        <v>0</v>
      </c>
      <c r="B9" s="303"/>
      <c r="C9" s="303"/>
    </row>
    <row r="11" spans="1:3" ht="15.75">
      <c r="A11" s="301" t="s">
        <v>1</v>
      </c>
      <c r="B11" s="301"/>
      <c r="C11" s="301"/>
    </row>
    <row r="14" spans="1:3">
      <c r="A14" s="1" t="s">
        <v>2</v>
      </c>
      <c r="B14" s="2" t="s">
        <v>3</v>
      </c>
      <c r="C14" s="3" t="s">
        <v>4</v>
      </c>
    </row>
    <row r="15" spans="1:3">
      <c r="A15" s="4"/>
      <c r="B15" s="5"/>
      <c r="C15" s="6"/>
    </row>
    <row r="16" spans="1:3">
      <c r="A16" s="7" t="s">
        <v>5</v>
      </c>
      <c r="B16" s="8">
        <v>1</v>
      </c>
      <c r="C16" s="6" t="s">
        <v>1</v>
      </c>
    </row>
    <row r="17" spans="1:3">
      <c r="A17" s="7" t="s">
        <v>6</v>
      </c>
      <c r="B17" s="8">
        <v>1</v>
      </c>
      <c r="C17" s="6" t="s">
        <v>7</v>
      </c>
    </row>
    <row r="18" spans="1:3">
      <c r="A18" s="7" t="s">
        <v>8</v>
      </c>
      <c r="B18" s="8">
        <v>10</v>
      </c>
      <c r="C18" s="6" t="s">
        <v>9</v>
      </c>
    </row>
    <row r="19" spans="1:3">
      <c r="A19" s="7" t="s">
        <v>10</v>
      </c>
      <c r="B19" s="8">
        <v>10</v>
      </c>
      <c r="C19" s="6" t="s">
        <v>11</v>
      </c>
    </row>
    <row r="20" spans="1:3">
      <c r="A20" s="7" t="s">
        <v>12</v>
      </c>
      <c r="B20" s="8">
        <v>2</v>
      </c>
      <c r="C20" t="s">
        <v>13</v>
      </c>
    </row>
    <row r="21" spans="1:3">
      <c r="B21" s="9"/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5" footer="0.5"/>
  <pageSetup orientation="portrait" r:id="rId1"/>
  <headerFooter alignWithMargins="0">
    <oddHeader>&amp;R&amp;9CASE NO. 2017-00349
FR 16(8)(c)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view="pageBreakPreview" zoomScale="60" zoomScaleNormal="75" workbookViewId="0">
      <pane xSplit="3" ySplit="10" topLeftCell="D11" activePane="bottomRight" state="frozen"/>
      <selection activeCell="E14" sqref="E14"/>
      <selection pane="topRight" activeCell="E14" sqref="E14"/>
      <selection pane="bottomLeft" activeCell="E14" sqref="E14"/>
      <selection pane="bottomRight" activeCell="D11" sqref="D11"/>
    </sheetView>
  </sheetViews>
  <sheetFormatPr defaultColWidth="7.109375" defaultRowHeight="15"/>
  <cols>
    <col min="1" max="1" width="4.6640625" style="9" customWidth="1"/>
    <col min="2" max="2" width="9.109375" style="9" customWidth="1"/>
    <col min="3" max="3" width="42" style="9" customWidth="1"/>
    <col min="4" max="4" width="12.44140625" style="9" bestFit="1" customWidth="1"/>
    <col min="5" max="6" width="11.109375" style="9" customWidth="1"/>
    <col min="7" max="7" width="11.77734375" style="9" bestFit="1" customWidth="1"/>
    <col min="8" max="8" width="11.33203125" style="9" bestFit="1" customWidth="1"/>
    <col min="9" max="9" width="15.21875" style="9" customWidth="1"/>
    <col min="10" max="10" width="12.5546875" style="9" customWidth="1"/>
    <col min="11" max="11" width="11.33203125" style="9" bestFit="1" customWidth="1"/>
    <col min="12" max="13" width="12.44140625" style="9" bestFit="1" customWidth="1"/>
    <col min="14" max="14" width="11.33203125" style="9" bestFit="1" customWidth="1"/>
    <col min="15" max="15" width="12.44140625" style="9" customWidth="1"/>
    <col min="16" max="16" width="13.44140625" style="9" bestFit="1" customWidth="1"/>
    <col min="17" max="17" width="12.44140625" style="9" customWidth="1"/>
    <col min="18" max="18" width="10" style="9" customWidth="1"/>
    <col min="19" max="19" width="13.109375" style="9" customWidth="1"/>
    <col min="20" max="20" width="11.21875" style="9" customWidth="1"/>
    <col min="21" max="16384" width="7.109375" style="9"/>
  </cols>
  <sheetData>
    <row r="1" spans="1:19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  <c r="R1" s="5"/>
      <c r="S1" s="5"/>
    </row>
    <row r="2" spans="1:19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R2" s="5"/>
      <c r="S2" s="5"/>
    </row>
    <row r="3" spans="1:19">
      <c r="A3" s="308" t="s">
        <v>234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  <c r="R3" s="5"/>
      <c r="S3" s="5"/>
    </row>
    <row r="4" spans="1:19">
      <c r="A4" s="308" t="s">
        <v>387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  <c r="R4" s="5"/>
      <c r="S4" s="5"/>
    </row>
    <row r="5" spans="1:19">
      <c r="A5" s="8"/>
      <c r="B5" s="8"/>
      <c r="C5" s="8"/>
      <c r="D5" s="265"/>
      <c r="E5" s="266"/>
      <c r="F5" s="265"/>
      <c r="G5" s="267"/>
      <c r="H5" s="267"/>
      <c r="I5" s="267"/>
      <c r="J5" s="267"/>
      <c r="K5" s="267"/>
      <c r="L5" s="265"/>
      <c r="M5" s="268"/>
      <c r="N5" s="265"/>
      <c r="O5" s="266"/>
      <c r="P5" s="8"/>
      <c r="Q5" s="5"/>
      <c r="R5" s="5"/>
      <c r="S5" s="5"/>
    </row>
    <row r="6" spans="1:19">
      <c r="A6" s="194" t="str">
        <f>'C.2.1 F'!A6</f>
        <v>Data:________Base Period___X____Forecasted Period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  <c r="R6" s="5"/>
      <c r="S6" s="5"/>
    </row>
    <row r="7" spans="1:19">
      <c r="A7" s="194" t="str">
        <f>'C.2.1 F'!A7</f>
        <v>Type of Filing:___X____Original________Updated ________Revised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  <c r="R7" s="5"/>
      <c r="S7" s="5"/>
    </row>
    <row r="8" spans="1:19">
      <c r="A8" s="198" t="str">
        <f>'C.2.1 F'!A8</f>
        <v>Workpaper Reference No(s).____________________</v>
      </c>
      <c r="B8" s="5"/>
      <c r="C8" s="5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01" t="str">
        <f>'C.2.2 B 09'!P8</f>
        <v>Witness: Waller, Martin</v>
      </c>
      <c r="Q8" s="5"/>
      <c r="R8" s="5"/>
      <c r="S8" s="5"/>
    </row>
    <row r="9" spans="1:19">
      <c r="A9" s="202" t="s">
        <v>21</v>
      </c>
      <c r="B9" s="203" t="s">
        <v>237</v>
      </c>
      <c r="C9" s="204"/>
      <c r="D9" s="269" t="s">
        <v>20</v>
      </c>
      <c r="E9" s="206" t="s">
        <v>20</v>
      </c>
      <c r="F9" s="206" t="s">
        <v>20</v>
      </c>
      <c r="G9" s="206" t="s">
        <v>20</v>
      </c>
      <c r="H9" s="206" t="s">
        <v>20</v>
      </c>
      <c r="I9" s="206" t="s">
        <v>20</v>
      </c>
      <c r="J9" s="206" t="s">
        <v>20</v>
      </c>
      <c r="K9" s="206" t="s">
        <v>20</v>
      </c>
      <c r="L9" s="206" t="s">
        <v>20</v>
      </c>
      <c r="M9" s="206" t="s">
        <v>20</v>
      </c>
      <c r="N9" s="206" t="s">
        <v>20</v>
      </c>
      <c r="O9" s="206" t="s">
        <v>20</v>
      </c>
      <c r="P9" s="270"/>
      <c r="Q9" s="8"/>
      <c r="R9" s="8"/>
      <c r="S9" s="8"/>
    </row>
    <row r="10" spans="1:19">
      <c r="A10" s="207" t="s">
        <v>24</v>
      </c>
      <c r="B10" s="2" t="s">
        <v>24</v>
      </c>
      <c r="C10" s="208" t="s">
        <v>240</v>
      </c>
      <c r="D10" s="209">
        <v>43191</v>
      </c>
      <c r="E10" s="209">
        <v>43221</v>
      </c>
      <c r="F10" s="209">
        <v>43252</v>
      </c>
      <c r="G10" s="209">
        <v>43282</v>
      </c>
      <c r="H10" s="209">
        <v>43313</v>
      </c>
      <c r="I10" s="209">
        <v>43344</v>
      </c>
      <c r="J10" s="209">
        <v>43374</v>
      </c>
      <c r="K10" s="209">
        <v>43405</v>
      </c>
      <c r="L10" s="209">
        <v>43435</v>
      </c>
      <c r="M10" s="209">
        <v>43466</v>
      </c>
      <c r="N10" s="209">
        <v>43497</v>
      </c>
      <c r="O10" s="209">
        <v>43525</v>
      </c>
      <c r="P10" s="210" t="s">
        <v>241</v>
      </c>
      <c r="Q10" s="256"/>
      <c r="R10" s="8"/>
      <c r="S10" s="8"/>
    </row>
    <row r="11" spans="1:19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68"/>
      <c r="R11" s="5"/>
      <c r="S11" s="5"/>
    </row>
    <row r="12" spans="1:19">
      <c r="A12" s="8">
        <v>1</v>
      </c>
      <c r="B12" s="212">
        <v>4091</v>
      </c>
      <c r="C12" s="271" t="s">
        <v>219</v>
      </c>
      <c r="D12" s="134">
        <v>900140.51286882535</v>
      </c>
      <c r="E12" s="134">
        <v>900140.51286882535</v>
      </c>
      <c r="F12" s="134">
        <v>900140.51286882535</v>
      </c>
      <c r="G12" s="134">
        <v>900140.51286882535</v>
      </c>
      <c r="H12" s="134">
        <v>900140.51286882535</v>
      </c>
      <c r="I12" s="134">
        <v>900140.51286882535</v>
      </c>
      <c r="J12" s="134">
        <v>900140.51286882535</v>
      </c>
      <c r="K12" s="134">
        <v>900140.51286882535</v>
      </c>
      <c r="L12" s="134">
        <v>900140.51286882535</v>
      </c>
      <c r="M12" s="134">
        <v>900140.51286882535</v>
      </c>
      <c r="N12" s="134">
        <v>900140.51286882535</v>
      </c>
      <c r="O12" s="134">
        <v>900140.51286882535</v>
      </c>
      <c r="P12" s="5">
        <f>SUM(D12:O12)</f>
        <v>10801686.154425904</v>
      </c>
      <c r="Q12" s="196"/>
      <c r="S12" s="196"/>
    </row>
    <row r="13" spans="1:19">
      <c r="A13" s="8">
        <f>A12+1</f>
        <v>2</v>
      </c>
      <c r="B13" s="212"/>
      <c r="C13" s="271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5"/>
      <c r="Q13" s="5"/>
      <c r="S13" s="5"/>
    </row>
    <row r="14" spans="1:19">
      <c r="A14" s="8">
        <f t="shared" ref="A14:A77" si="0">A13+1</f>
        <v>3</v>
      </c>
      <c r="B14" s="212">
        <v>4030</v>
      </c>
      <c r="C14" s="5" t="s">
        <v>70</v>
      </c>
      <c r="D14" s="116">
        <v>1792660.9275789859</v>
      </c>
      <c r="E14" s="116">
        <v>1792660.9275789859</v>
      </c>
      <c r="F14" s="116">
        <v>1792660.9275789859</v>
      </c>
      <c r="G14" s="116">
        <v>1792660.9275789859</v>
      </c>
      <c r="H14" s="116">
        <v>1792660.9275789859</v>
      </c>
      <c r="I14" s="116">
        <v>1792660.9275789859</v>
      </c>
      <c r="J14" s="116">
        <v>1792660.9275789859</v>
      </c>
      <c r="K14" s="116">
        <v>1792660.9275789859</v>
      </c>
      <c r="L14" s="116">
        <v>1792660.9275789859</v>
      </c>
      <c r="M14" s="116">
        <v>1792660.9275789859</v>
      </c>
      <c r="N14" s="116">
        <v>1792660.9275789859</v>
      </c>
      <c r="O14" s="116">
        <v>1792660.9275789859</v>
      </c>
      <c r="P14" s="5">
        <f t="shared" ref="P14:P23" si="1">SUM(D14:O14)</f>
        <v>21511931.130947832</v>
      </c>
      <c r="Q14" s="196"/>
      <c r="S14" s="196"/>
    </row>
    <row r="15" spans="1:19">
      <c r="A15" s="8">
        <f t="shared" si="0"/>
        <v>4</v>
      </c>
      <c r="B15" s="212">
        <v>4060</v>
      </c>
      <c r="C15" s="5" t="s">
        <v>245</v>
      </c>
      <c r="D15" s="116">
        <f>'C.2.2 B 09'!O15</f>
        <v>4131.76</v>
      </c>
      <c r="E15" s="116">
        <f>D15</f>
        <v>4131.76</v>
      </c>
      <c r="F15" s="116">
        <f t="shared" ref="F15:O15" si="2">E15</f>
        <v>4131.76</v>
      </c>
      <c r="G15" s="116">
        <f t="shared" si="2"/>
        <v>4131.76</v>
      </c>
      <c r="H15" s="116">
        <f t="shared" si="2"/>
        <v>4131.76</v>
      </c>
      <c r="I15" s="116">
        <f t="shared" si="2"/>
        <v>4131.76</v>
      </c>
      <c r="J15" s="116">
        <f t="shared" si="2"/>
        <v>4131.76</v>
      </c>
      <c r="K15" s="116">
        <f t="shared" si="2"/>
        <v>4131.76</v>
      </c>
      <c r="L15" s="116">
        <f t="shared" si="2"/>
        <v>4131.76</v>
      </c>
      <c r="M15" s="116">
        <f t="shared" si="2"/>
        <v>4131.76</v>
      </c>
      <c r="N15" s="116">
        <f t="shared" si="2"/>
        <v>4131.76</v>
      </c>
      <c r="O15" s="116">
        <f t="shared" si="2"/>
        <v>4131.76</v>
      </c>
      <c r="P15" s="5">
        <f t="shared" si="1"/>
        <v>49581.120000000017</v>
      </c>
      <c r="Q15" s="5"/>
      <c r="S15" s="5"/>
    </row>
    <row r="16" spans="1:19">
      <c r="A16" s="8">
        <f t="shared" si="0"/>
        <v>5</v>
      </c>
      <c r="B16" s="212">
        <v>4081</v>
      </c>
      <c r="C16" s="5" t="s">
        <v>246</v>
      </c>
      <c r="D16" s="116">
        <f>'C.2.3 F'!C25</f>
        <v>550586.6739808697</v>
      </c>
      <c r="E16" s="116">
        <f>'C.2.3 F'!D25</f>
        <v>530194.97517883952</v>
      </c>
      <c r="F16" s="116">
        <f>'C.2.3 F'!E25</f>
        <v>568734.55479244981</v>
      </c>
      <c r="G16" s="116">
        <f>'C.2.3 F'!F25</f>
        <v>547943.42818013369</v>
      </c>
      <c r="H16" s="116">
        <f>'C.2.3 F'!G25</f>
        <v>504176.29818013369</v>
      </c>
      <c r="I16" s="116">
        <f>'C.2.3 F'!H25</f>
        <v>580631.68818013382</v>
      </c>
      <c r="J16" s="116">
        <f>'C.2.3 F'!I25</f>
        <v>523733.74818013376</v>
      </c>
      <c r="K16" s="116">
        <f>'C.2.3 F'!J25</f>
        <v>559394.31818013371</v>
      </c>
      <c r="L16" s="116">
        <f>'C.2.3 F'!K25</f>
        <v>502875.57818013371</v>
      </c>
      <c r="M16" s="116">
        <f>'C.2.3 F'!L25</f>
        <v>612476.13574697636</v>
      </c>
      <c r="N16" s="116">
        <f>'C.2.3 F'!M25</f>
        <v>528446.9708364351</v>
      </c>
      <c r="O16" s="116">
        <f>'C.2.3 F'!N25</f>
        <v>557250.8955244401</v>
      </c>
      <c r="P16" s="5">
        <f t="shared" si="1"/>
        <v>6566445.2651408128</v>
      </c>
      <c r="Q16" s="196"/>
      <c r="S16" s="196"/>
    </row>
    <row r="17" spans="1:19">
      <c r="A17" s="8">
        <f t="shared" si="0"/>
        <v>6</v>
      </c>
      <c r="B17" s="212">
        <v>4800</v>
      </c>
      <c r="C17" s="217" t="s">
        <v>247</v>
      </c>
      <c r="D17" s="116">
        <v>-8441558.6012300886</v>
      </c>
      <c r="E17" s="116">
        <v>-5661644.2309731487</v>
      </c>
      <c r="F17" s="116">
        <v>-4284846.0528626004</v>
      </c>
      <c r="G17" s="116">
        <v>-3943264.9044156806</v>
      </c>
      <c r="H17" s="116">
        <v>-3962200.1912761992</v>
      </c>
      <c r="I17" s="116">
        <v>-3926560.0249840179</v>
      </c>
      <c r="J17" s="116">
        <v>-5042313.5464182133</v>
      </c>
      <c r="K17" s="116">
        <v>-8401387.8863512427</v>
      </c>
      <c r="L17" s="116">
        <v>-12512630.078639716</v>
      </c>
      <c r="M17" s="116">
        <v>-14998860.639884859</v>
      </c>
      <c r="N17" s="116">
        <v>-15393651.511947451</v>
      </c>
      <c r="O17" s="116">
        <v>-11809001.746209055</v>
      </c>
      <c r="P17" s="116">
        <f t="shared" si="1"/>
        <v>-98377919.415192276</v>
      </c>
    </row>
    <row r="18" spans="1:19">
      <c r="A18" s="8">
        <f t="shared" si="0"/>
        <v>7</v>
      </c>
      <c r="B18" s="212">
        <v>4805</v>
      </c>
      <c r="C18" s="217" t="s">
        <v>248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9">
      <c r="A19" s="8">
        <f t="shared" si="0"/>
        <v>8</v>
      </c>
      <c r="B19" s="212">
        <v>4811</v>
      </c>
      <c r="C19" s="217" t="s">
        <v>249</v>
      </c>
      <c r="D19" s="116">
        <v>-3482514.1213973574</v>
      </c>
      <c r="E19" s="116">
        <v>-2514682.8433252801</v>
      </c>
      <c r="F19" s="116">
        <v>-1993667.060705516</v>
      </c>
      <c r="G19" s="116">
        <v>-1848367.0350045138</v>
      </c>
      <c r="H19" s="116">
        <v>-1858090.3072460247</v>
      </c>
      <c r="I19" s="116">
        <v>-1838613.2123923136</v>
      </c>
      <c r="J19" s="116">
        <v>-2198265.0002901242</v>
      </c>
      <c r="K19" s="116">
        <v>-3461162.4368507904</v>
      </c>
      <c r="L19" s="116">
        <v>-4909965.3595049419</v>
      </c>
      <c r="M19" s="116">
        <v>-5849828.4347833237</v>
      </c>
      <c r="N19" s="116">
        <v>-5979381.7154239211</v>
      </c>
      <c r="O19" s="116">
        <v>-4702526.2102799257</v>
      </c>
      <c r="P19" s="116">
        <f t="shared" si="1"/>
        <v>-40637063.73720403</v>
      </c>
    </row>
    <row r="20" spans="1:19">
      <c r="A20" s="8">
        <f t="shared" si="0"/>
        <v>9</v>
      </c>
      <c r="B20" s="212">
        <v>4812</v>
      </c>
      <c r="C20" s="5" t="s">
        <v>250</v>
      </c>
      <c r="D20" s="116">
        <v>-333869.94577730913</v>
      </c>
      <c r="E20" s="116">
        <v>-336503.9047936704</v>
      </c>
      <c r="F20" s="116">
        <v>-257495.02753932757</v>
      </c>
      <c r="G20" s="116">
        <v>-367460.01923376077</v>
      </c>
      <c r="H20" s="116">
        <v>-280518.25992199586</v>
      </c>
      <c r="I20" s="116">
        <v>-313148.57953810971</v>
      </c>
      <c r="J20" s="116">
        <v>-248255.96019136364</v>
      </c>
      <c r="K20" s="116">
        <v>-306059.20820625068</v>
      </c>
      <c r="L20" s="116">
        <v>-660778.19755295315</v>
      </c>
      <c r="M20" s="116">
        <v>-961516.7613888284</v>
      </c>
      <c r="N20" s="116">
        <v>-661147.60418456118</v>
      </c>
      <c r="O20" s="116">
        <v>-560001.87102494435</v>
      </c>
      <c r="P20" s="116">
        <f t="shared" si="1"/>
        <v>-5286755.3393530753</v>
      </c>
      <c r="Q20" s="5"/>
      <c r="R20" s="196"/>
    </row>
    <row r="21" spans="1:19">
      <c r="A21" s="8">
        <f t="shared" si="0"/>
        <v>10</v>
      </c>
      <c r="B21" s="212">
        <v>4815</v>
      </c>
      <c r="C21" s="5" t="s">
        <v>251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5"/>
      <c r="R21" s="196"/>
    </row>
    <row r="22" spans="1:19">
      <c r="A22" s="8">
        <f t="shared" si="0"/>
        <v>11</v>
      </c>
      <c r="B22" s="212">
        <v>4816</v>
      </c>
      <c r="C22" s="5" t="s">
        <v>252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5"/>
      <c r="R22" s="196"/>
    </row>
    <row r="23" spans="1:19" ht="15.75">
      <c r="A23" s="8">
        <f t="shared" si="0"/>
        <v>12</v>
      </c>
      <c r="B23" s="212">
        <v>4820</v>
      </c>
      <c r="C23" s="5" t="s">
        <v>253</v>
      </c>
      <c r="D23" s="116">
        <v>-574640.72676783078</v>
      </c>
      <c r="E23" s="116">
        <v>-377720.56029893842</v>
      </c>
      <c r="F23" s="116">
        <v>-265144.9171492898</v>
      </c>
      <c r="G23" s="116">
        <v>-241180.15568729438</v>
      </c>
      <c r="H23" s="116">
        <v>-252076.25869578484</v>
      </c>
      <c r="I23" s="116">
        <v>-242677.8163083338</v>
      </c>
      <c r="J23" s="116">
        <v>-337345.19457652222</v>
      </c>
      <c r="K23" s="116">
        <v>-603236.78757413372</v>
      </c>
      <c r="L23" s="116">
        <v>-905038.2690203411</v>
      </c>
      <c r="M23" s="116">
        <v>-1087494.3411898718</v>
      </c>
      <c r="N23" s="116">
        <v>-1113251.6898061384</v>
      </c>
      <c r="O23" s="116">
        <v>-847565.66995055904</v>
      </c>
      <c r="P23" s="116">
        <f t="shared" si="1"/>
        <v>-6847372.3870250378</v>
      </c>
      <c r="Q23" s="5"/>
      <c r="R23" s="272"/>
    </row>
    <row r="24" spans="1:19" ht="15.75">
      <c r="A24" s="8">
        <f t="shared" si="0"/>
        <v>13</v>
      </c>
      <c r="B24" s="212">
        <v>4825</v>
      </c>
      <c r="C24" s="5" t="s">
        <v>254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5"/>
      <c r="R24" s="272"/>
    </row>
    <row r="25" spans="1:19">
      <c r="A25" s="8">
        <f t="shared" si="0"/>
        <v>14</v>
      </c>
      <c r="B25" s="212">
        <v>4870</v>
      </c>
      <c r="C25" s="5" t="s">
        <v>255</v>
      </c>
      <c r="D25" s="116">
        <v>-154727.82135485311</v>
      </c>
      <c r="E25" s="116">
        <v>-111173.430378629</v>
      </c>
      <c r="F25" s="116">
        <v>-76088.821679641362</v>
      </c>
      <c r="G25" s="116">
        <v>-58230.972263950251</v>
      </c>
      <c r="H25" s="116">
        <v>-53684.395756861937</v>
      </c>
      <c r="I25" s="116">
        <v>-54034.705322374044</v>
      </c>
      <c r="J25" s="116">
        <v>-53460.619677659743</v>
      </c>
      <c r="K25" s="116">
        <v>-67434.49078735373</v>
      </c>
      <c r="L25" s="116">
        <v>-110915.66308377551</v>
      </c>
      <c r="M25" s="116">
        <v>-163043.36831648159</v>
      </c>
      <c r="N25" s="116">
        <v>-195126.14829354855</v>
      </c>
      <c r="O25" s="116">
        <v>-200043.74278253785</v>
      </c>
      <c r="P25" s="116">
        <f t="shared" ref="P25:P57" si="3">SUM(D25:O25)</f>
        <v>-1297964.1796976668</v>
      </c>
      <c r="Q25" s="5"/>
      <c r="R25" s="5"/>
    </row>
    <row r="26" spans="1:19">
      <c r="A26" s="8">
        <f t="shared" si="0"/>
        <v>15</v>
      </c>
      <c r="B26" s="212">
        <v>4880</v>
      </c>
      <c r="C26" s="5" t="s">
        <v>256</v>
      </c>
      <c r="D26" s="116">
        <v>-49919</v>
      </c>
      <c r="E26" s="116">
        <v>-53628</v>
      </c>
      <c r="F26" s="116">
        <v>-55397</v>
      </c>
      <c r="G26" s="116">
        <v>-45327</v>
      </c>
      <c r="H26" s="116">
        <v>-57173</v>
      </c>
      <c r="I26" s="116">
        <v>-55395</v>
      </c>
      <c r="J26" s="116">
        <v>-88176</v>
      </c>
      <c r="K26" s="116">
        <v>-126545</v>
      </c>
      <c r="L26" s="116">
        <v>-87101</v>
      </c>
      <c r="M26" s="116">
        <v>-58133</v>
      </c>
      <c r="N26" s="116">
        <v>-54439</v>
      </c>
      <c r="O26" s="116">
        <v>-74821</v>
      </c>
      <c r="P26" s="116">
        <f t="shared" si="3"/>
        <v>-806054</v>
      </c>
      <c r="Q26" s="5"/>
      <c r="R26" s="5"/>
    </row>
    <row r="27" spans="1:19">
      <c r="A27" s="8">
        <f t="shared" si="0"/>
        <v>16</v>
      </c>
      <c r="B27" s="212">
        <v>4893</v>
      </c>
      <c r="C27" s="5" t="s">
        <v>348</v>
      </c>
      <c r="D27" s="116">
        <v>-1186285.1811271033</v>
      </c>
      <c r="E27" s="116">
        <v>-1211422.5728380762</v>
      </c>
      <c r="F27" s="116">
        <v>-1162348.0418893297</v>
      </c>
      <c r="G27" s="116">
        <v>-1031165.1010687258</v>
      </c>
      <c r="H27" s="116">
        <v>-1125835.1251621114</v>
      </c>
      <c r="I27" s="116">
        <v>-1137038.5377952971</v>
      </c>
      <c r="J27" s="116">
        <v>-1217906.5070548751</v>
      </c>
      <c r="K27" s="116">
        <v>-1335583.0520690915</v>
      </c>
      <c r="L27" s="116">
        <v>-1505273.8931012994</v>
      </c>
      <c r="M27" s="116">
        <v>-1523596.7860310171</v>
      </c>
      <c r="N27" s="116">
        <v>-1334402.3335029918</v>
      </c>
      <c r="O27" s="116">
        <v>-1431230.0610257264</v>
      </c>
      <c r="P27" s="116">
        <f t="shared" si="3"/>
        <v>-15202087.192665644</v>
      </c>
      <c r="Q27" s="218"/>
    </row>
    <row r="28" spans="1:19">
      <c r="A28" s="8">
        <f t="shared" si="0"/>
        <v>17</v>
      </c>
      <c r="B28" s="212">
        <v>4950</v>
      </c>
      <c r="C28" s="5" t="s">
        <v>98</v>
      </c>
      <c r="D28" s="116">
        <v>-174643.87153331196</v>
      </c>
      <c r="E28" s="116">
        <v>-170439.53524474136</v>
      </c>
      <c r="F28" s="116">
        <v>-149118.70479717723</v>
      </c>
      <c r="G28" s="116">
        <v>-183286.57023593987</v>
      </c>
      <c r="H28" s="116">
        <v>-180802.14429106572</v>
      </c>
      <c r="I28" s="116">
        <v>-183627.60898165885</v>
      </c>
      <c r="J28" s="116">
        <v>-198676.93726818013</v>
      </c>
      <c r="K28" s="116">
        <v>-196958.77298331514</v>
      </c>
      <c r="L28" s="116">
        <v>-230122.0238050755</v>
      </c>
      <c r="M28" s="116">
        <v>-221910.06617049334</v>
      </c>
      <c r="N28" s="116">
        <v>-186721.56078293792</v>
      </c>
      <c r="O28" s="116">
        <v>-197751.86418905575</v>
      </c>
      <c r="P28" s="116">
        <f t="shared" si="3"/>
        <v>-2274059.6602829527</v>
      </c>
      <c r="Q28" s="196"/>
      <c r="R28" s="196"/>
    </row>
    <row r="29" spans="1:19">
      <c r="A29" s="8">
        <f t="shared" si="0"/>
        <v>18</v>
      </c>
      <c r="B29" s="212">
        <v>7560</v>
      </c>
      <c r="C29" s="9" t="s">
        <v>258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16">
        <f t="shared" si="3"/>
        <v>0</v>
      </c>
      <c r="Q29" s="216"/>
      <c r="R29" s="196"/>
    </row>
    <row r="30" spans="1:19">
      <c r="A30" s="8">
        <f t="shared" si="0"/>
        <v>19</v>
      </c>
      <c r="B30" s="212">
        <v>7590</v>
      </c>
      <c r="C30" s="213" t="s">
        <v>104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16">
        <f t="shared" si="3"/>
        <v>0</v>
      </c>
      <c r="Q30" s="216"/>
      <c r="R30" s="196"/>
    </row>
    <row r="31" spans="1:19">
      <c r="A31" s="8">
        <f t="shared" si="0"/>
        <v>20</v>
      </c>
      <c r="B31" s="212">
        <v>8001</v>
      </c>
      <c r="C31" s="5" t="s">
        <v>146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f t="shared" si="3"/>
        <v>0</v>
      </c>
      <c r="Q31" s="5"/>
      <c r="R31" s="196"/>
      <c r="S31" s="5"/>
    </row>
    <row r="32" spans="1:19">
      <c r="A32" s="8">
        <f t="shared" si="0"/>
        <v>21</v>
      </c>
      <c r="B32" s="212">
        <v>8010</v>
      </c>
      <c r="C32" s="5" t="s">
        <v>259</v>
      </c>
      <c r="D32" s="116">
        <v>5286.4127931039575</v>
      </c>
      <c r="E32" s="116">
        <v>8710.1173719114722</v>
      </c>
      <c r="F32" s="116">
        <v>5038.3232695054112</v>
      </c>
      <c r="G32" s="116">
        <v>5572.7063108054899</v>
      </c>
      <c r="H32" s="116">
        <v>14164.47016680776</v>
      </c>
      <c r="I32" s="116">
        <v>7861.7439954091278</v>
      </c>
      <c r="J32" s="116">
        <v>6254.2868953616353</v>
      </c>
      <c r="K32" s="116">
        <v>7245.4698067383652</v>
      </c>
      <c r="L32" s="116">
        <v>3883.6604893328226</v>
      </c>
      <c r="M32" s="116">
        <v>5662.8646110343843</v>
      </c>
      <c r="N32" s="116">
        <v>6841.4352693205483</v>
      </c>
      <c r="O32" s="116">
        <v>4750.6462660509942</v>
      </c>
      <c r="P32" s="116">
        <f t="shared" si="3"/>
        <v>81272.137245381979</v>
      </c>
      <c r="Q32" s="5"/>
      <c r="R32" s="196"/>
      <c r="S32" s="5"/>
    </row>
    <row r="33" spans="1:25">
      <c r="A33" s="8">
        <f t="shared" si="0"/>
        <v>22</v>
      </c>
      <c r="B33" s="212">
        <v>8040</v>
      </c>
      <c r="C33" s="5" t="s">
        <v>260</v>
      </c>
      <c r="D33" s="116">
        <v>1136067.0562997661</v>
      </c>
      <c r="E33" s="116">
        <v>7942879.5329601886</v>
      </c>
      <c r="F33" s="116">
        <v>4418216.4535287535</v>
      </c>
      <c r="G33" s="116">
        <v>3912572.3252810393</v>
      </c>
      <c r="H33" s="116">
        <v>5951211.0380950049</v>
      </c>
      <c r="I33" s="116">
        <v>4730451.5833085207</v>
      </c>
      <c r="J33" s="116">
        <v>5807069.5767435636</v>
      </c>
      <c r="K33" s="116">
        <v>8102268.1639921144</v>
      </c>
      <c r="L33" s="116">
        <v>1260828.6237944912</v>
      </c>
      <c r="M33" s="116">
        <v>5991515.1194934594</v>
      </c>
      <c r="N33" s="116">
        <v>7237555.2211249536</v>
      </c>
      <c r="O33" s="116">
        <v>501352.88924362388</v>
      </c>
      <c r="P33" s="116">
        <f t="shared" si="3"/>
        <v>56991987.583865479</v>
      </c>
      <c r="Q33" s="5"/>
      <c r="R33" s="5"/>
      <c r="S33" s="5"/>
    </row>
    <row r="34" spans="1:25">
      <c r="A34" s="8">
        <f t="shared" si="0"/>
        <v>23</v>
      </c>
      <c r="B34" s="212">
        <v>8050</v>
      </c>
      <c r="C34" s="5" t="s">
        <v>261</v>
      </c>
      <c r="D34" s="116">
        <v>-102.167332510162</v>
      </c>
      <c r="E34" s="116">
        <v>-2437.7391495200332</v>
      </c>
      <c r="F34" s="116">
        <v>-841.1109262625987</v>
      </c>
      <c r="G34" s="116">
        <v>-754.82595977232802</v>
      </c>
      <c r="H34" s="116">
        <v>-912.64172943700635</v>
      </c>
      <c r="I34" s="116">
        <v>-752.41072729285872</v>
      </c>
      <c r="J34" s="116">
        <v>-4262.6697092489931</v>
      </c>
      <c r="K34" s="116">
        <v>-677.23765899818602</v>
      </c>
      <c r="L34" s="116">
        <v>-5006.9178063506197</v>
      </c>
      <c r="M34" s="116">
        <v>-948.2132854821499</v>
      </c>
      <c r="N34" s="116">
        <v>-517.00991270398799</v>
      </c>
      <c r="O34" s="116">
        <v>-339.01791174540875</v>
      </c>
      <c r="P34" s="116">
        <f t="shared" si="3"/>
        <v>-17551.962109324333</v>
      </c>
      <c r="Q34" s="5"/>
      <c r="R34" s="5"/>
      <c r="S34" s="5"/>
    </row>
    <row r="35" spans="1:25">
      <c r="A35" s="8">
        <f t="shared" si="0"/>
        <v>24</v>
      </c>
      <c r="B35" s="212">
        <v>8051</v>
      </c>
      <c r="C35" s="5" t="s">
        <v>262</v>
      </c>
      <c r="D35" s="116">
        <v>4970598.2506078864</v>
      </c>
      <c r="E35" s="116">
        <v>2057759.3723232783</v>
      </c>
      <c r="F35" s="116">
        <v>1101473.2537888468</v>
      </c>
      <c r="G35" s="116">
        <v>760741.5085483744</v>
      </c>
      <c r="H35" s="116">
        <v>791202.39979744831</v>
      </c>
      <c r="I35" s="116">
        <v>740531.33458783838</v>
      </c>
      <c r="J35" s="116">
        <v>1003885.1485672233</v>
      </c>
      <c r="K35" s="116">
        <v>2586527.7571109147</v>
      </c>
      <c r="L35" s="116">
        <v>5709864.2018586816</v>
      </c>
      <c r="M35" s="116">
        <v>8592214.8938080203</v>
      </c>
      <c r="N35" s="116">
        <v>10368788.21051125</v>
      </c>
      <c r="O35" s="116">
        <v>6752855.1803603964</v>
      </c>
      <c r="P35" s="116">
        <f t="shared" si="3"/>
        <v>45436441.511870168</v>
      </c>
      <c r="Q35" s="5"/>
      <c r="R35" s="5"/>
      <c r="S35" s="5"/>
    </row>
    <row r="36" spans="1:25">
      <c r="A36" s="8">
        <f t="shared" si="0"/>
        <v>25</v>
      </c>
      <c r="B36" s="212">
        <v>8052</v>
      </c>
      <c r="C36" s="5" t="s">
        <v>263</v>
      </c>
      <c r="D36" s="116">
        <v>2287648.8504220438</v>
      </c>
      <c r="E36" s="116">
        <v>1328474.6776430081</v>
      </c>
      <c r="F36" s="116">
        <v>849109.00100519916</v>
      </c>
      <c r="G36" s="116">
        <v>735658.7200223729</v>
      </c>
      <c r="H36" s="116">
        <v>781943.32074138126</v>
      </c>
      <c r="I36" s="116">
        <v>793744.10978095199</v>
      </c>
      <c r="J36" s="116">
        <v>1104030.8557052109</v>
      </c>
      <c r="K36" s="116">
        <v>1294475.6054442485</v>
      </c>
      <c r="L36" s="116">
        <v>2435494.4882331346</v>
      </c>
      <c r="M36" s="116">
        <v>3938158.3664231678</v>
      </c>
      <c r="N36" s="116">
        <v>4729999.7931923009</v>
      </c>
      <c r="O36" s="116">
        <v>3172706.863746237</v>
      </c>
      <c r="P36" s="116">
        <f t="shared" si="3"/>
        <v>23451444.652359258</v>
      </c>
      <c r="Q36" s="5"/>
      <c r="R36" s="196"/>
      <c r="S36" s="5"/>
    </row>
    <row r="37" spans="1:25" ht="15.75">
      <c r="A37" s="8">
        <f t="shared" si="0"/>
        <v>26</v>
      </c>
      <c r="B37" s="212">
        <v>8053</v>
      </c>
      <c r="C37" s="5" t="s">
        <v>264</v>
      </c>
      <c r="D37" s="116">
        <v>670263.97966764064</v>
      </c>
      <c r="E37" s="116">
        <v>606448.54150041658</v>
      </c>
      <c r="F37" s="116">
        <v>599691.56216938968</v>
      </c>
      <c r="G37" s="116">
        <v>271407.88244846527</v>
      </c>
      <c r="H37" s="116">
        <v>232387.66037756088</v>
      </c>
      <c r="I37" s="116">
        <v>226159.3027049652</v>
      </c>
      <c r="J37" s="116">
        <v>200352.00150539301</v>
      </c>
      <c r="K37" s="116">
        <v>332932.13367518265</v>
      </c>
      <c r="L37" s="116">
        <v>367554.73478945927</v>
      </c>
      <c r="M37" s="116">
        <v>719679.84630821703</v>
      </c>
      <c r="N37" s="116">
        <v>1104205.3510991121</v>
      </c>
      <c r="O37" s="116">
        <v>1142315.3740988034</v>
      </c>
      <c r="P37" s="116">
        <f t="shared" si="3"/>
        <v>6473398.3703446072</v>
      </c>
      <c r="Q37" s="5"/>
      <c r="R37" s="272"/>
      <c r="S37" s="5"/>
    </row>
    <row r="38" spans="1:25">
      <c r="A38" s="8">
        <f t="shared" si="0"/>
        <v>27</v>
      </c>
      <c r="B38" s="212">
        <v>8054</v>
      </c>
      <c r="C38" s="5" t="s">
        <v>265</v>
      </c>
      <c r="D38" s="116">
        <v>488062.44044149161</v>
      </c>
      <c r="E38" s="116">
        <v>262831.5568730181</v>
      </c>
      <c r="F38" s="116">
        <v>151561.43348439448</v>
      </c>
      <c r="G38" s="116">
        <v>101821.37375531789</v>
      </c>
      <c r="H38" s="116">
        <v>124872.73650941775</v>
      </c>
      <c r="I38" s="116">
        <v>138338.59415316739</v>
      </c>
      <c r="J38" s="116">
        <v>157878.44201254169</v>
      </c>
      <c r="K38" s="116">
        <v>301624.83997104189</v>
      </c>
      <c r="L38" s="116">
        <v>506941.01558583154</v>
      </c>
      <c r="M38" s="116">
        <v>751321.73338847049</v>
      </c>
      <c r="N38" s="116">
        <v>920677.62391453248</v>
      </c>
      <c r="O38" s="116">
        <v>646085.79837980075</v>
      </c>
      <c r="P38" s="116">
        <f t="shared" si="3"/>
        <v>4552017.5884690257</v>
      </c>
      <c r="Q38" s="5"/>
      <c r="R38" s="216"/>
      <c r="S38" s="5"/>
    </row>
    <row r="39" spans="1:25">
      <c r="A39" s="8">
        <f t="shared" si="0"/>
        <v>28</v>
      </c>
      <c r="B39" s="212">
        <v>8058</v>
      </c>
      <c r="C39" s="5" t="s">
        <v>266</v>
      </c>
      <c r="D39" s="116">
        <v>-1712164.1448643713</v>
      </c>
      <c r="E39" s="116">
        <v>-523995.52079642203</v>
      </c>
      <c r="F39" s="116">
        <v>-514193.77082977031</v>
      </c>
      <c r="G39" s="116">
        <v>65225.621321997161</v>
      </c>
      <c r="H39" s="116">
        <v>-55009.794440724843</v>
      </c>
      <c r="I39" s="116">
        <v>-775.32690094509132</v>
      </c>
      <c r="J39" s="116">
        <v>589397.65281972114</v>
      </c>
      <c r="K39" s="116">
        <v>2189797.1154716173</v>
      </c>
      <c r="L39" s="116">
        <v>2363830.128539891</v>
      </c>
      <c r="M39" s="116">
        <v>346802.16982731258</v>
      </c>
      <c r="N39" s="116">
        <v>-2693770.3695110511</v>
      </c>
      <c r="O39" s="116">
        <v>-1237398.8204913465</v>
      </c>
      <c r="P39" s="116">
        <f t="shared" si="3"/>
        <v>-1182255.0598540921</v>
      </c>
      <c r="Q39" s="5"/>
      <c r="R39" s="5"/>
      <c r="S39" s="5"/>
    </row>
    <row r="40" spans="1:25">
      <c r="A40" s="8">
        <f t="shared" si="0"/>
        <v>29</v>
      </c>
      <c r="B40" s="212">
        <v>8059</v>
      </c>
      <c r="C40" s="5" t="s">
        <v>267</v>
      </c>
      <c r="D40" s="116">
        <v>-11361900.47434173</v>
      </c>
      <c r="E40" s="116">
        <v>-5660994.7965627359</v>
      </c>
      <c r="F40" s="116">
        <v>-3869645.219424923</v>
      </c>
      <c r="G40" s="116">
        <v>-2821359.4526127134</v>
      </c>
      <c r="H40" s="116">
        <v>-4699259.9237386696</v>
      </c>
      <c r="I40" s="116">
        <v>-2881427.0158929885</v>
      </c>
      <c r="J40" s="116">
        <v>-3672553.2553509413</v>
      </c>
      <c r="K40" s="116">
        <v>-5780797.5131403962</v>
      </c>
      <c r="L40" s="116">
        <v>-6077941.8274138169</v>
      </c>
      <c r="M40" s="116">
        <v>-12128655.025181919</v>
      </c>
      <c r="N40" s="116">
        <v>-20512277.595289767</v>
      </c>
      <c r="O40" s="116">
        <v>-13185018.839574886</v>
      </c>
      <c r="P40" s="116">
        <f t="shared" si="3"/>
        <v>-92651830.938525483</v>
      </c>
      <c r="Q40" s="5"/>
      <c r="R40" s="5"/>
      <c r="S40" s="5"/>
    </row>
    <row r="41" spans="1:25">
      <c r="A41" s="8">
        <f t="shared" si="0"/>
        <v>30</v>
      </c>
      <c r="B41" s="212">
        <v>8060</v>
      </c>
      <c r="C41" s="5" t="s">
        <v>268</v>
      </c>
      <c r="D41" s="116">
        <v>3150643.7405185029</v>
      </c>
      <c r="E41" s="116">
        <v>-2552872.8349554124</v>
      </c>
      <c r="F41" s="116">
        <v>-592198.19048676745</v>
      </c>
      <c r="G41" s="116">
        <v>-1248679.8444171865</v>
      </c>
      <c r="H41" s="116">
        <v>-581875.41970635578</v>
      </c>
      <c r="I41" s="116">
        <v>-1531625.0545346532</v>
      </c>
      <c r="J41" s="116">
        <v>-1564266.9603863049</v>
      </c>
      <c r="K41" s="116">
        <v>-1737941.444323801</v>
      </c>
      <c r="L41" s="116">
        <v>1484125.671818566</v>
      </c>
      <c r="M41" s="116">
        <v>1065099.5223002788</v>
      </c>
      <c r="N41" s="116">
        <v>5060781.34520688</v>
      </c>
      <c r="O41" s="116">
        <v>5299169.5699769063</v>
      </c>
      <c r="P41" s="116">
        <f t="shared" si="3"/>
        <v>6250360.1010106523</v>
      </c>
      <c r="Q41" s="5"/>
      <c r="R41" s="5"/>
      <c r="S41" s="5"/>
    </row>
    <row r="42" spans="1:25">
      <c r="A42" s="8">
        <f t="shared" si="0"/>
        <v>31</v>
      </c>
      <c r="B42" s="212">
        <v>8081</v>
      </c>
      <c r="C42" s="5" t="s">
        <v>269</v>
      </c>
      <c r="D42" s="116">
        <v>3611015.3888441729</v>
      </c>
      <c r="E42" s="116">
        <v>13219.19591089116</v>
      </c>
      <c r="F42" s="116">
        <v>10746.090999438002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1058902.4047091573</v>
      </c>
      <c r="M42" s="116">
        <v>2415311.2977469945</v>
      </c>
      <c r="N42" s="116">
        <v>3952112.4352866197</v>
      </c>
      <c r="O42" s="116">
        <v>4009332.5191630474</v>
      </c>
      <c r="P42" s="116">
        <f t="shared" si="3"/>
        <v>15070639.332660321</v>
      </c>
      <c r="Q42" s="218"/>
      <c r="R42" s="5"/>
      <c r="S42" s="5"/>
    </row>
    <row r="43" spans="1:25">
      <c r="A43" s="8">
        <f t="shared" si="0"/>
        <v>32</v>
      </c>
      <c r="B43" s="212">
        <v>8082</v>
      </c>
      <c r="C43" s="5" t="s">
        <v>270</v>
      </c>
      <c r="D43" s="116">
        <v>-146068.63528977861</v>
      </c>
      <c r="E43" s="116">
        <v>-2498398.6057525231</v>
      </c>
      <c r="F43" s="116">
        <v>-1756401.7894047746</v>
      </c>
      <c r="G43" s="116">
        <v>-1745614.4835071671</v>
      </c>
      <c r="H43" s="116">
        <v>-2880825.7683470789</v>
      </c>
      <c r="I43" s="116">
        <v>-2075276.943864868</v>
      </c>
      <c r="J43" s="116">
        <v>-2619986.7904700958</v>
      </c>
      <c r="K43" s="116">
        <v>-3772616.0348233739</v>
      </c>
      <c r="L43" s="116">
        <v>-2011.2753014476937</v>
      </c>
      <c r="M43" s="116">
        <v>-24385.593284712901</v>
      </c>
      <c r="N43" s="116">
        <v>-9268.5151245332727</v>
      </c>
      <c r="O43" s="116">
        <v>-15896.554336642503</v>
      </c>
      <c r="P43" s="116">
        <f t="shared" si="3"/>
        <v>-17546750.989506993</v>
      </c>
      <c r="R43" s="5"/>
      <c r="S43" s="5"/>
    </row>
    <row r="44" spans="1:25" ht="15.75">
      <c r="A44" s="8">
        <f t="shared" si="0"/>
        <v>33</v>
      </c>
      <c r="B44" s="212">
        <v>8120</v>
      </c>
      <c r="C44" s="5" t="s">
        <v>271</v>
      </c>
      <c r="D44" s="116">
        <v>-3456.5234192320063</v>
      </c>
      <c r="E44" s="116">
        <v>-143.91546407671069</v>
      </c>
      <c r="F44" s="116">
        <v>-1631.6635069364179</v>
      </c>
      <c r="G44" s="116">
        <v>1124.7425964827623</v>
      </c>
      <c r="H44" s="116">
        <v>-2248.4183472918453</v>
      </c>
      <c r="I44" s="116">
        <v>723.79281739350188</v>
      </c>
      <c r="J44" s="116">
        <v>91.0210333404778</v>
      </c>
      <c r="K44" s="116">
        <v>-1972.4143911806073</v>
      </c>
      <c r="L44" s="116">
        <v>-8624.5634525191508</v>
      </c>
      <c r="M44" s="116">
        <v>-5635.2824049591782</v>
      </c>
      <c r="N44" s="116">
        <v>-1719.9242988778972</v>
      </c>
      <c r="O44" s="116">
        <v>1563.3284579422432</v>
      </c>
      <c r="P44" s="116">
        <f t="shared" si="3"/>
        <v>-21929.820379914829</v>
      </c>
      <c r="Q44" s="5"/>
      <c r="R44" s="240"/>
    </row>
    <row r="45" spans="1:25">
      <c r="A45" s="8">
        <f t="shared" si="0"/>
        <v>34</v>
      </c>
      <c r="B45" s="212">
        <v>8580</v>
      </c>
      <c r="C45" s="5" t="s">
        <v>272</v>
      </c>
      <c r="D45" s="116">
        <v>3605058.6785084712</v>
      </c>
      <c r="E45" s="116">
        <v>2749895.1301772008</v>
      </c>
      <c r="F45" s="116">
        <v>1785085.4424450304</v>
      </c>
      <c r="G45" s="116">
        <v>1898263.574904995</v>
      </c>
      <c r="H45" s="116">
        <v>2197498.2452597278</v>
      </c>
      <c r="I45" s="116">
        <v>1750768.0977158733</v>
      </c>
      <c r="J45" s="116">
        <v>2047745.8122776665</v>
      </c>
      <c r="K45" s="116">
        <v>3182518.5961477165</v>
      </c>
      <c r="L45" s="116">
        <v>2277219.6597100683</v>
      </c>
      <c r="M45" s="116">
        <v>2676400.0276003475</v>
      </c>
      <c r="N45" s="116">
        <v>4264772.683439224</v>
      </c>
      <c r="O45" s="116">
        <v>3386648.7871736442</v>
      </c>
      <c r="P45" s="116">
        <f t="shared" si="3"/>
        <v>31821874.735359967</v>
      </c>
      <c r="Q45" s="196"/>
      <c r="R45" s="196"/>
      <c r="S45" s="196"/>
      <c r="T45" s="196"/>
    </row>
    <row r="46" spans="1:25">
      <c r="A46" s="8">
        <f t="shared" si="0"/>
        <v>35</v>
      </c>
      <c r="B46" s="212">
        <v>8140</v>
      </c>
      <c r="C46" s="5" t="s">
        <v>273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5">
        <f t="shared" si="3"/>
        <v>0</v>
      </c>
      <c r="Q46" s="196"/>
      <c r="R46" s="196"/>
      <c r="S46" s="5"/>
      <c r="Y46" s="273"/>
    </row>
    <row r="47" spans="1:25">
      <c r="A47" s="8">
        <f t="shared" si="0"/>
        <v>36</v>
      </c>
      <c r="B47" s="212">
        <v>8160</v>
      </c>
      <c r="C47" s="5" t="s">
        <v>274</v>
      </c>
      <c r="D47" s="134">
        <v>10619.263995131569</v>
      </c>
      <c r="E47" s="134">
        <v>10126.764364035515</v>
      </c>
      <c r="F47" s="134">
        <v>19170.60221859975</v>
      </c>
      <c r="G47" s="134">
        <v>17292.069558200797</v>
      </c>
      <c r="H47" s="134">
        <v>11608.462065569549</v>
      </c>
      <c r="I47" s="134">
        <v>11284.75363990579</v>
      </c>
      <c r="J47" s="134">
        <v>10248.217369480275</v>
      </c>
      <c r="K47" s="134">
        <v>10693.197683059334</v>
      </c>
      <c r="L47" s="134">
        <v>8154.4860953869538</v>
      </c>
      <c r="M47" s="134">
        <v>9097.6828507670161</v>
      </c>
      <c r="N47" s="134">
        <v>8338.1927822122252</v>
      </c>
      <c r="O47" s="134">
        <v>9316.1018170471652</v>
      </c>
      <c r="P47" s="5">
        <f t="shared" si="3"/>
        <v>135949.79443939595</v>
      </c>
      <c r="Q47" s="5"/>
      <c r="R47" s="5"/>
      <c r="S47" s="5"/>
      <c r="Y47" s="273"/>
    </row>
    <row r="48" spans="1:25">
      <c r="A48" s="8">
        <f t="shared" si="0"/>
        <v>37</v>
      </c>
      <c r="B48" s="212">
        <v>8170</v>
      </c>
      <c r="C48" s="5" t="s">
        <v>275</v>
      </c>
      <c r="D48" s="134">
        <v>2788.8718455510989</v>
      </c>
      <c r="E48" s="134">
        <v>3016.8408050709786</v>
      </c>
      <c r="F48" s="134">
        <v>2843.2217839997697</v>
      </c>
      <c r="G48" s="134">
        <v>2937.477168084838</v>
      </c>
      <c r="H48" s="134">
        <v>3030.0894073606737</v>
      </c>
      <c r="I48" s="134">
        <v>2679.4428012167195</v>
      </c>
      <c r="J48" s="134">
        <v>2959.5975207816364</v>
      </c>
      <c r="K48" s="134">
        <v>2984.1398533495226</v>
      </c>
      <c r="L48" s="134">
        <v>2868.0327807631475</v>
      </c>
      <c r="M48" s="134">
        <v>3115.3149327107908</v>
      </c>
      <c r="N48" s="134">
        <v>2802.5940107543643</v>
      </c>
      <c r="O48" s="134">
        <v>2988.6755158838696</v>
      </c>
      <c r="P48" s="5">
        <f t="shared" si="3"/>
        <v>35014.298425527413</v>
      </c>
      <c r="Q48" s="5"/>
      <c r="R48" s="5"/>
      <c r="S48" s="5"/>
      <c r="Y48" s="273"/>
    </row>
    <row r="49" spans="1:25">
      <c r="A49" s="8">
        <f t="shared" si="0"/>
        <v>38</v>
      </c>
      <c r="B49" s="212">
        <v>8180</v>
      </c>
      <c r="C49" s="5" t="s">
        <v>276</v>
      </c>
      <c r="D49" s="134">
        <v>2666.777493674882</v>
      </c>
      <c r="E49" s="134">
        <v>2937.9803436802376</v>
      </c>
      <c r="F49" s="134">
        <v>3401.3304382354941</v>
      </c>
      <c r="G49" s="134">
        <v>3490.384389416985</v>
      </c>
      <c r="H49" s="134">
        <v>3193.4353025998512</v>
      </c>
      <c r="I49" s="134">
        <v>2696.9965177997879</v>
      </c>
      <c r="J49" s="134">
        <v>2536.9436137917978</v>
      </c>
      <c r="K49" s="134">
        <v>2689.6886472743463</v>
      </c>
      <c r="L49" s="134">
        <v>2812.5620486942998</v>
      </c>
      <c r="M49" s="134">
        <v>3158.1578392536721</v>
      </c>
      <c r="N49" s="134">
        <v>3167.6445111152407</v>
      </c>
      <c r="O49" s="134">
        <v>2880.6574819771427</v>
      </c>
      <c r="P49" s="5">
        <f t="shared" si="3"/>
        <v>35632.558627513739</v>
      </c>
      <c r="Q49" s="5"/>
      <c r="R49" s="5"/>
      <c r="S49" s="5"/>
      <c r="Y49" s="273"/>
    </row>
    <row r="50" spans="1:25">
      <c r="A50" s="8">
        <f t="shared" si="0"/>
        <v>39</v>
      </c>
      <c r="B50" s="212">
        <v>8190</v>
      </c>
      <c r="C50" s="5" t="s">
        <v>277</v>
      </c>
      <c r="D50" s="134">
        <v>81.217074952527966</v>
      </c>
      <c r="E50" s="134">
        <v>85.388368189764918</v>
      </c>
      <c r="F50" s="134">
        <v>87.955662277127772</v>
      </c>
      <c r="G50" s="134">
        <v>80.292008737978492</v>
      </c>
      <c r="H50" s="134">
        <v>84.196523654923723</v>
      </c>
      <c r="I50" s="134">
        <v>75.974152929312567</v>
      </c>
      <c r="J50" s="134">
        <v>81.086603650364225</v>
      </c>
      <c r="K50" s="134">
        <v>89.470308005517069</v>
      </c>
      <c r="L50" s="134">
        <v>78.107518484372804</v>
      </c>
      <c r="M50" s="134">
        <v>87.391281576156359</v>
      </c>
      <c r="N50" s="134">
        <v>87.445831170300494</v>
      </c>
      <c r="O50" s="134">
        <v>84.934693890658792</v>
      </c>
      <c r="P50" s="5">
        <f t="shared" si="3"/>
        <v>1003.4600275190052</v>
      </c>
      <c r="Q50" s="5"/>
      <c r="R50" s="5"/>
      <c r="S50" s="5"/>
      <c r="Y50" s="273"/>
    </row>
    <row r="51" spans="1:25">
      <c r="A51" s="8">
        <f t="shared" si="0"/>
        <v>40</v>
      </c>
      <c r="B51" s="212">
        <v>8200</v>
      </c>
      <c r="C51" s="5" t="s">
        <v>278</v>
      </c>
      <c r="D51" s="134">
        <v>280.17045659415783</v>
      </c>
      <c r="E51" s="134">
        <v>299.12344428585106</v>
      </c>
      <c r="F51" s="134">
        <v>291.02568481167043</v>
      </c>
      <c r="G51" s="134">
        <v>284.79698151423503</v>
      </c>
      <c r="H51" s="134">
        <v>297.20349522200712</v>
      </c>
      <c r="I51" s="134">
        <v>265.60751621342882</v>
      </c>
      <c r="J51" s="134">
        <v>290.74062292003742</v>
      </c>
      <c r="K51" s="134">
        <v>304.24597941383979</v>
      </c>
      <c r="L51" s="134">
        <v>279.6413770063449</v>
      </c>
      <c r="M51" s="134">
        <v>307.19707397684164</v>
      </c>
      <c r="N51" s="134">
        <v>288.38430070679726</v>
      </c>
      <c r="O51" s="134">
        <v>296.93953312893069</v>
      </c>
      <c r="P51" s="5">
        <f t="shared" si="3"/>
        <v>3485.0764657941422</v>
      </c>
      <c r="Q51" s="5"/>
      <c r="R51" s="5"/>
      <c r="S51" s="5"/>
      <c r="Y51" s="273"/>
    </row>
    <row r="52" spans="1:25">
      <c r="A52" s="8">
        <f t="shared" si="0"/>
        <v>41</v>
      </c>
      <c r="B52" s="212">
        <v>8210</v>
      </c>
      <c r="C52" s="5" t="s">
        <v>279</v>
      </c>
      <c r="D52" s="134">
        <v>1941.561896504182</v>
      </c>
      <c r="E52" s="134">
        <v>2141.9852236477609</v>
      </c>
      <c r="F52" s="134">
        <v>2468.9067461862041</v>
      </c>
      <c r="G52" s="134">
        <v>2525.5941432727368</v>
      </c>
      <c r="H52" s="134">
        <v>2328.243392161588</v>
      </c>
      <c r="I52" s="134">
        <v>1957.885998387638</v>
      </c>
      <c r="J52" s="134">
        <v>1825.6482910060251</v>
      </c>
      <c r="K52" s="134">
        <v>1956.4623016411556</v>
      </c>
      <c r="L52" s="134">
        <v>2054.2442242140146</v>
      </c>
      <c r="M52" s="134">
        <v>2315.2047905871705</v>
      </c>
      <c r="N52" s="134">
        <v>2353.9896696128976</v>
      </c>
      <c r="O52" s="134">
        <v>2104.3008596043514</v>
      </c>
      <c r="P52" s="5">
        <f t="shared" si="3"/>
        <v>25974.027536825721</v>
      </c>
      <c r="Q52" s="5"/>
      <c r="R52" s="5"/>
      <c r="S52" s="5"/>
      <c r="Y52" s="273"/>
    </row>
    <row r="53" spans="1:25">
      <c r="A53" s="8">
        <f t="shared" si="0"/>
        <v>42</v>
      </c>
      <c r="B53" s="212">
        <v>8240</v>
      </c>
      <c r="C53" s="5" t="s">
        <v>280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5">
        <f t="shared" si="3"/>
        <v>0</v>
      </c>
      <c r="Q53" s="5"/>
      <c r="R53" s="5"/>
      <c r="S53" s="5"/>
      <c r="Y53" s="273"/>
    </row>
    <row r="54" spans="1:25">
      <c r="A54" s="8">
        <f t="shared" si="0"/>
        <v>43</v>
      </c>
      <c r="B54" s="212">
        <v>8250</v>
      </c>
      <c r="C54" s="5" t="s">
        <v>281</v>
      </c>
      <c r="D54" s="134">
        <v>700.71792890717393</v>
      </c>
      <c r="E54" s="134">
        <v>1241.0254657261651</v>
      </c>
      <c r="F54" s="134">
        <v>867.38293213052884</v>
      </c>
      <c r="G54" s="134">
        <v>710.46364165398404</v>
      </c>
      <c r="H54" s="134">
        <v>722.65669983275018</v>
      </c>
      <c r="I54" s="134">
        <v>666.18945025071991</v>
      </c>
      <c r="J54" s="134">
        <v>735.13148750329526</v>
      </c>
      <c r="K54" s="134">
        <v>802.2083264115987</v>
      </c>
      <c r="L54" s="134">
        <v>687.8857628995014</v>
      </c>
      <c r="M54" s="134">
        <v>756.48169835492956</v>
      </c>
      <c r="N54" s="134">
        <v>756.1995203381266</v>
      </c>
      <c r="O54" s="134">
        <v>741.73383245139541</v>
      </c>
      <c r="P54" s="5">
        <f t="shared" si="3"/>
        <v>9388.0767464601686</v>
      </c>
      <c r="Q54" s="5"/>
      <c r="R54" s="5"/>
      <c r="Y54" s="273"/>
    </row>
    <row r="55" spans="1:25">
      <c r="A55" s="8">
        <f t="shared" si="0"/>
        <v>44</v>
      </c>
      <c r="B55" s="212">
        <v>8310</v>
      </c>
      <c r="C55" s="5" t="s">
        <v>282</v>
      </c>
      <c r="D55" s="134">
        <v>1247.9261220533554</v>
      </c>
      <c r="E55" s="134">
        <v>1141.9302477823685</v>
      </c>
      <c r="F55" s="134">
        <v>2628.9863448396209</v>
      </c>
      <c r="G55" s="134">
        <v>2318.6543547708143</v>
      </c>
      <c r="H55" s="134">
        <v>1389.6317151716323</v>
      </c>
      <c r="I55" s="134">
        <v>1377.886989382775</v>
      </c>
      <c r="J55" s="134">
        <v>1140.3643301151235</v>
      </c>
      <c r="K55" s="134">
        <v>1219.4740544896608</v>
      </c>
      <c r="L55" s="134">
        <v>856.56271797912723</v>
      </c>
      <c r="M55" s="134">
        <v>977.07563188328413</v>
      </c>
      <c r="N55" s="134">
        <v>932.45996981539861</v>
      </c>
      <c r="O55" s="134">
        <v>1017.3474635292315</v>
      </c>
      <c r="P55" s="5">
        <f t="shared" si="3"/>
        <v>16248.299941812395</v>
      </c>
      <c r="Q55" s="5"/>
      <c r="R55" s="261"/>
      <c r="S55" s="5"/>
      <c r="Y55" s="273"/>
    </row>
    <row r="56" spans="1:25">
      <c r="A56" s="8">
        <f t="shared" si="0"/>
        <v>45</v>
      </c>
      <c r="B56" s="212">
        <v>8340</v>
      </c>
      <c r="C56" s="5" t="s">
        <v>283</v>
      </c>
      <c r="D56" s="134">
        <v>917.01930843296554</v>
      </c>
      <c r="E56" s="134">
        <v>879.52265082879023</v>
      </c>
      <c r="F56" s="134">
        <v>1696.2325649230725</v>
      </c>
      <c r="G56" s="134">
        <v>1535.1030482455217</v>
      </c>
      <c r="H56" s="134">
        <v>1022.9812871082836</v>
      </c>
      <c r="I56" s="134">
        <v>982.94573231269987</v>
      </c>
      <c r="J56" s="134">
        <v>865.34856047912183</v>
      </c>
      <c r="K56" s="134">
        <v>913.1337142901441</v>
      </c>
      <c r="L56" s="134">
        <v>711.3521944017275</v>
      </c>
      <c r="M56" s="134">
        <v>800.60677174311718</v>
      </c>
      <c r="N56" s="134">
        <v>756.82212930448259</v>
      </c>
      <c r="O56" s="134">
        <v>807.9874522856237</v>
      </c>
      <c r="P56" s="5">
        <f t="shared" si="3"/>
        <v>11889.055414355553</v>
      </c>
      <c r="Q56" s="5"/>
      <c r="R56" s="261"/>
      <c r="S56" s="5"/>
      <c r="Y56" s="273"/>
    </row>
    <row r="57" spans="1:25">
      <c r="A57" s="8">
        <f t="shared" si="0"/>
        <v>46</v>
      </c>
      <c r="B57" s="212">
        <v>8350</v>
      </c>
      <c r="C57" s="5" t="s">
        <v>284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5">
        <f t="shared" si="3"/>
        <v>0</v>
      </c>
      <c r="Q57" s="5"/>
      <c r="R57" s="261"/>
      <c r="S57" s="5"/>
      <c r="Y57" s="273"/>
    </row>
    <row r="58" spans="1:25">
      <c r="A58" s="8">
        <f t="shared" si="0"/>
        <v>47</v>
      </c>
      <c r="B58" s="212">
        <v>8360</v>
      </c>
      <c r="C58" s="5" t="s">
        <v>285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5">
        <f t="shared" ref="P58:P108" si="4">SUM(D58:O58)</f>
        <v>0</v>
      </c>
      <c r="Q58" s="5"/>
      <c r="R58" s="261"/>
      <c r="S58" s="5"/>
      <c r="Y58" s="273"/>
    </row>
    <row r="59" spans="1:25">
      <c r="A59" s="8">
        <f t="shared" si="0"/>
        <v>48</v>
      </c>
      <c r="B59" s="212">
        <v>8370</v>
      </c>
      <c r="C59" s="5" t="s">
        <v>126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5">
        <f t="shared" si="4"/>
        <v>0</v>
      </c>
      <c r="Q59" s="5"/>
      <c r="R59" s="261"/>
      <c r="S59" s="5"/>
      <c r="Y59" s="273"/>
    </row>
    <row r="60" spans="1:25">
      <c r="A60" s="8">
        <f t="shared" si="0"/>
        <v>49</v>
      </c>
      <c r="B60" s="212">
        <v>8410</v>
      </c>
      <c r="C60" s="5" t="s">
        <v>286</v>
      </c>
      <c r="D60" s="134">
        <v>10408.832603967065</v>
      </c>
      <c r="E60" s="134">
        <v>11255.366442274086</v>
      </c>
      <c r="F60" s="134">
        <v>10451.743604379424</v>
      </c>
      <c r="G60" s="134">
        <v>10821.042494978063</v>
      </c>
      <c r="H60" s="134">
        <v>11280.582775455803</v>
      </c>
      <c r="I60" s="134">
        <v>10013.564685405005</v>
      </c>
      <c r="J60" s="134">
        <v>11168.851555828754</v>
      </c>
      <c r="K60" s="134">
        <v>11166.570919519587</v>
      </c>
      <c r="L60" s="134">
        <v>10733.260352382613</v>
      </c>
      <c r="M60" s="134">
        <v>11592.34461618907</v>
      </c>
      <c r="N60" s="134">
        <v>10304.321248945038</v>
      </c>
      <c r="O60" s="134">
        <v>11200.196713117186</v>
      </c>
      <c r="P60" s="5">
        <f t="shared" si="4"/>
        <v>130396.67801244168</v>
      </c>
      <c r="Q60" s="5"/>
      <c r="R60" s="261"/>
      <c r="S60" s="5"/>
      <c r="Y60" s="273"/>
    </row>
    <row r="61" spans="1:25">
      <c r="A61" s="8">
        <f t="shared" si="0"/>
        <v>50</v>
      </c>
      <c r="B61" s="212">
        <v>8520</v>
      </c>
      <c r="C61" s="5" t="s">
        <v>131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5">
        <f t="shared" si="4"/>
        <v>0</v>
      </c>
      <c r="Q61" s="5"/>
      <c r="R61" s="261"/>
      <c r="S61" s="5"/>
      <c r="Y61" s="273"/>
    </row>
    <row r="62" spans="1:25">
      <c r="A62" s="8">
        <f t="shared" si="0"/>
        <v>51</v>
      </c>
      <c r="B62" s="212">
        <v>8550</v>
      </c>
      <c r="C62" s="213" t="s">
        <v>287</v>
      </c>
      <c r="D62" s="134">
        <v>24.021594459171855</v>
      </c>
      <c r="E62" s="134">
        <v>25.255338897441277</v>
      </c>
      <c r="F62" s="134">
        <v>26.014668108202773</v>
      </c>
      <c r="G62" s="134">
        <v>23.747987394810362</v>
      </c>
      <c r="H62" s="134">
        <v>24.902826742933499</v>
      </c>
      <c r="I62" s="134">
        <v>22.470894108336076</v>
      </c>
      <c r="J62" s="134">
        <v>23.983004929679819</v>
      </c>
      <c r="K62" s="134">
        <v>26.462655252013988</v>
      </c>
      <c r="L62" s="134">
        <v>23.101880169170904</v>
      </c>
      <c r="M62" s="134">
        <v>25.847741087902634</v>
      </c>
      <c r="N62" s="134">
        <v>25.863875234930322</v>
      </c>
      <c r="O62" s="134">
        <v>25.121155537155939</v>
      </c>
      <c r="P62" s="5">
        <f t="shared" si="4"/>
        <v>296.79362192174943</v>
      </c>
      <c r="Q62" s="5"/>
      <c r="R62" s="261"/>
      <c r="S62" s="5"/>
      <c r="Y62" s="273"/>
    </row>
    <row r="63" spans="1:25">
      <c r="A63" s="8">
        <f t="shared" si="0"/>
        <v>52</v>
      </c>
      <c r="B63" s="212">
        <v>8560</v>
      </c>
      <c r="C63" s="5" t="s">
        <v>288</v>
      </c>
      <c r="D63" s="134">
        <v>20653.354607600446</v>
      </c>
      <c r="E63" s="134">
        <v>21413.127017825293</v>
      </c>
      <c r="F63" s="134">
        <v>22604.660465328059</v>
      </c>
      <c r="G63" s="134">
        <v>22903.908437080365</v>
      </c>
      <c r="H63" s="134">
        <v>22070.79105335334</v>
      </c>
      <c r="I63" s="134">
        <v>19869.170183180868</v>
      </c>
      <c r="J63" s="134">
        <v>20589.612092110081</v>
      </c>
      <c r="K63" s="134">
        <v>20972.776584521442</v>
      </c>
      <c r="L63" s="134">
        <v>20386.666356758484</v>
      </c>
      <c r="M63" s="134">
        <v>22300.335191922761</v>
      </c>
      <c r="N63" s="134">
        <v>20709.816303744279</v>
      </c>
      <c r="O63" s="134">
        <v>21316.074021127384</v>
      </c>
      <c r="P63" s="5">
        <f t="shared" si="4"/>
        <v>255790.29231455276</v>
      </c>
      <c r="Q63" s="5"/>
      <c r="R63" s="261"/>
      <c r="S63" s="5"/>
      <c r="Y63" s="273"/>
    </row>
    <row r="64" spans="1:25">
      <c r="A64" s="8">
        <f t="shared" si="0"/>
        <v>53</v>
      </c>
      <c r="B64" s="212">
        <v>8570</v>
      </c>
      <c r="C64" s="5" t="s">
        <v>289</v>
      </c>
      <c r="D64" s="134">
        <v>867.2022732961758</v>
      </c>
      <c r="E64" s="134">
        <v>933.35155146746149</v>
      </c>
      <c r="F64" s="134">
        <v>992.94683307658886</v>
      </c>
      <c r="G64" s="134">
        <v>969.04395793438266</v>
      </c>
      <c r="H64" s="134">
        <v>959.60557116369114</v>
      </c>
      <c r="I64" s="134">
        <v>838.90476526594784</v>
      </c>
      <c r="J64" s="134">
        <v>855.60110059731494</v>
      </c>
      <c r="K64" s="134">
        <v>920.66950253895368</v>
      </c>
      <c r="L64" s="134">
        <v>875.056243694969</v>
      </c>
      <c r="M64" s="134">
        <v>977.38901554894846</v>
      </c>
      <c r="N64" s="134">
        <v>969.04257198099822</v>
      </c>
      <c r="O64" s="134">
        <v>923.25305471336242</v>
      </c>
      <c r="P64" s="5">
        <f t="shared" si="4"/>
        <v>11082.066441278794</v>
      </c>
      <c r="Q64" s="5"/>
      <c r="R64" s="261"/>
      <c r="S64" s="5"/>
      <c r="Y64" s="273"/>
    </row>
    <row r="65" spans="1:25">
      <c r="A65" s="8">
        <f t="shared" si="0"/>
        <v>54</v>
      </c>
      <c r="B65" s="212">
        <v>8630</v>
      </c>
      <c r="C65" s="5" t="s">
        <v>290</v>
      </c>
      <c r="D65" s="134">
        <v>241.81420419907505</v>
      </c>
      <c r="E65" s="134">
        <v>221.39869195829604</v>
      </c>
      <c r="F65" s="134">
        <v>483.18216736657087</v>
      </c>
      <c r="G65" s="134">
        <v>425.78612893657964</v>
      </c>
      <c r="H65" s="134">
        <v>261.77288944619136</v>
      </c>
      <c r="I65" s="134">
        <v>262.51433452678117</v>
      </c>
      <c r="J65" s="134">
        <v>229.73283193450925</v>
      </c>
      <c r="K65" s="134">
        <v>241.07688424151195</v>
      </c>
      <c r="L65" s="134">
        <v>167.2272803864679</v>
      </c>
      <c r="M65" s="134">
        <v>187.69501552837283</v>
      </c>
      <c r="N65" s="134">
        <v>170.32859100559119</v>
      </c>
      <c r="O65" s="134">
        <v>198.74235567939019</v>
      </c>
      <c r="P65" s="5">
        <f t="shared" si="4"/>
        <v>3091.2713752093377</v>
      </c>
      <c r="Q65" s="5"/>
      <c r="R65" s="261"/>
      <c r="S65" s="5"/>
      <c r="Y65" s="273"/>
    </row>
    <row r="66" spans="1:25">
      <c r="A66" s="8">
        <f t="shared" si="0"/>
        <v>55</v>
      </c>
      <c r="B66" s="212">
        <v>8640</v>
      </c>
      <c r="C66" s="5" t="s">
        <v>291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5">
        <f t="shared" si="4"/>
        <v>0</v>
      </c>
      <c r="Q66" s="5"/>
      <c r="R66" s="261"/>
      <c r="S66" s="5"/>
      <c r="Y66" s="273"/>
    </row>
    <row r="67" spans="1:25">
      <c r="A67" s="8">
        <f t="shared" si="0"/>
        <v>56</v>
      </c>
      <c r="B67" s="212">
        <v>8650</v>
      </c>
      <c r="C67" s="5" t="s">
        <v>292</v>
      </c>
      <c r="D67" s="134">
        <v>28.738121753177911</v>
      </c>
      <c r="E67" s="134">
        <v>32.609956343663079</v>
      </c>
      <c r="F67" s="134">
        <v>44.384781984157271</v>
      </c>
      <c r="G67" s="134">
        <v>45.644369772014741</v>
      </c>
      <c r="H67" s="134">
        <v>38.365979670778195</v>
      </c>
      <c r="I67" s="134">
        <v>30.666072129381096</v>
      </c>
      <c r="J67" s="134">
        <v>23.511288983437701</v>
      </c>
      <c r="K67" s="134">
        <v>26.917684880612466</v>
      </c>
      <c r="L67" s="134">
        <v>31.720231740225405</v>
      </c>
      <c r="M67" s="134">
        <v>36.942099977341407</v>
      </c>
      <c r="N67" s="134">
        <v>41.230971820009188</v>
      </c>
      <c r="O67" s="134">
        <v>31.716098298982853</v>
      </c>
      <c r="P67" s="5">
        <f t="shared" si="4"/>
        <v>412.44765735378132</v>
      </c>
      <c r="Q67" s="5"/>
      <c r="R67" s="261"/>
      <c r="S67" s="5"/>
      <c r="Y67" s="273"/>
    </row>
    <row r="68" spans="1:25">
      <c r="A68" s="8">
        <f t="shared" si="0"/>
        <v>57</v>
      </c>
      <c r="B68" s="212">
        <v>8700</v>
      </c>
      <c r="C68" s="5" t="s">
        <v>293</v>
      </c>
      <c r="D68" s="134">
        <v>92564.239702975581</v>
      </c>
      <c r="E68" s="134">
        <v>105005.49629126437</v>
      </c>
      <c r="F68" s="134">
        <v>109524.27804384471</v>
      </c>
      <c r="G68" s="134">
        <v>95967.222744122206</v>
      </c>
      <c r="H68" s="134">
        <v>108635.74899062631</v>
      </c>
      <c r="I68" s="134">
        <v>98817.066771913436</v>
      </c>
      <c r="J68" s="134">
        <v>96312.105542517893</v>
      </c>
      <c r="K68" s="134">
        <v>99377.574970275004</v>
      </c>
      <c r="L68" s="134">
        <v>96494.358623313849</v>
      </c>
      <c r="M68" s="134">
        <v>102575.1920658216</v>
      </c>
      <c r="N68" s="134">
        <v>96667.087155974412</v>
      </c>
      <c r="O68" s="134">
        <v>105999.6907141237</v>
      </c>
      <c r="P68" s="5">
        <f t="shared" si="4"/>
        <v>1207940.061616773</v>
      </c>
      <c r="Q68" s="5"/>
      <c r="R68" s="261"/>
      <c r="S68" s="5"/>
      <c r="Y68" s="273"/>
    </row>
    <row r="69" spans="1:25">
      <c r="A69" s="8">
        <f t="shared" si="0"/>
        <v>58</v>
      </c>
      <c r="B69" s="212">
        <v>8710</v>
      </c>
      <c r="C69" s="5" t="s">
        <v>294</v>
      </c>
      <c r="D69" s="134">
        <v>79.813857090334238</v>
      </c>
      <c r="E69" s="134">
        <v>83.913081329982191</v>
      </c>
      <c r="F69" s="134">
        <v>86.43601931460438</v>
      </c>
      <c r="G69" s="134">
        <v>78.90477359169428</v>
      </c>
      <c r="H69" s="134">
        <v>82.741828740138104</v>
      </c>
      <c r="I69" s="134">
        <v>74.661518997128198</v>
      </c>
      <c r="J69" s="134">
        <v>79.685639989787674</v>
      </c>
      <c r="K69" s="134">
        <v>87.92449594071789</v>
      </c>
      <c r="L69" s="134">
        <v>76.758025595433352</v>
      </c>
      <c r="M69" s="134">
        <v>85.881389630659157</v>
      </c>
      <c r="N69" s="134">
        <v>85.934996751007944</v>
      </c>
      <c r="O69" s="134">
        <v>83.467245331879852</v>
      </c>
      <c r="P69" s="5">
        <f t="shared" si="4"/>
        <v>986.12287230336733</v>
      </c>
      <c r="Q69" s="5"/>
      <c r="R69" s="261"/>
      <c r="S69" s="5"/>
      <c r="Y69" s="273"/>
    </row>
    <row r="70" spans="1:25">
      <c r="A70" s="8">
        <f t="shared" si="0"/>
        <v>59</v>
      </c>
      <c r="B70" s="212">
        <v>8711</v>
      </c>
      <c r="C70" s="213" t="s">
        <v>295</v>
      </c>
      <c r="D70" s="134">
        <v>186.17932559345147</v>
      </c>
      <c r="E70" s="134">
        <v>209.85713071180845</v>
      </c>
      <c r="F70" s="134">
        <v>286.46395991172483</v>
      </c>
      <c r="G70" s="134">
        <v>287.38597506263824</v>
      </c>
      <c r="H70" s="134">
        <v>247.94047850253054</v>
      </c>
      <c r="I70" s="134">
        <v>201.30644988586727</v>
      </c>
      <c r="J70" s="134">
        <v>156.44108561843723</v>
      </c>
      <c r="K70" s="134">
        <v>176.80583371340151</v>
      </c>
      <c r="L70" s="134">
        <v>206.1541359559603</v>
      </c>
      <c r="M70" s="134">
        <v>236.40078718237248</v>
      </c>
      <c r="N70" s="134">
        <v>264.60005451153529</v>
      </c>
      <c r="O70" s="134">
        <v>210.14537831235214</v>
      </c>
      <c r="P70" s="5">
        <f t="shared" si="4"/>
        <v>2669.6805949620798</v>
      </c>
      <c r="Q70" s="5"/>
      <c r="R70" s="261"/>
      <c r="S70" s="5"/>
      <c r="Y70" s="273"/>
    </row>
    <row r="71" spans="1:25">
      <c r="A71" s="8">
        <f t="shared" si="0"/>
        <v>60</v>
      </c>
      <c r="B71" s="212">
        <v>8720</v>
      </c>
      <c r="C71" s="213" t="s">
        <v>296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5">
        <f t="shared" si="4"/>
        <v>0</v>
      </c>
      <c r="Q71" s="5"/>
      <c r="R71" s="261"/>
      <c r="S71" s="5"/>
      <c r="Y71" s="273"/>
    </row>
    <row r="72" spans="1:25">
      <c r="A72" s="8">
        <f t="shared" si="0"/>
        <v>61</v>
      </c>
      <c r="B72" s="212">
        <v>8740</v>
      </c>
      <c r="C72" s="5" t="s">
        <v>297</v>
      </c>
      <c r="D72" s="134">
        <v>299026.52429536812</v>
      </c>
      <c r="E72" s="134">
        <v>275411.76586721541</v>
      </c>
      <c r="F72" s="134">
        <v>348782.02886857465</v>
      </c>
      <c r="G72" s="134">
        <v>337788.23338219244</v>
      </c>
      <c r="H72" s="134">
        <v>293111.72832007066</v>
      </c>
      <c r="I72" s="134">
        <v>273823.14865677146</v>
      </c>
      <c r="J72" s="134">
        <v>266054.36622594431</v>
      </c>
      <c r="K72" s="134">
        <v>269624.15961748554</v>
      </c>
      <c r="L72" s="134">
        <v>256115.64307676267</v>
      </c>
      <c r="M72" s="134">
        <v>281055.72472419479</v>
      </c>
      <c r="N72" s="134">
        <v>266690.79595266399</v>
      </c>
      <c r="O72" s="134">
        <v>277493.72529348428</v>
      </c>
      <c r="P72" s="5">
        <f t="shared" si="4"/>
        <v>3444977.8442807291</v>
      </c>
      <c r="Q72" s="5"/>
      <c r="R72" s="261"/>
      <c r="S72" s="5"/>
      <c r="Y72" s="273"/>
    </row>
    <row r="73" spans="1:25">
      <c r="A73" s="8">
        <f t="shared" si="0"/>
        <v>62</v>
      </c>
      <c r="B73" s="212">
        <v>8750</v>
      </c>
      <c r="C73" s="5" t="s">
        <v>298</v>
      </c>
      <c r="D73" s="134">
        <v>38048.37456580306</v>
      </c>
      <c r="E73" s="134">
        <v>41086.182378423568</v>
      </c>
      <c r="F73" s="134">
        <v>41734.841687845401</v>
      </c>
      <c r="G73" s="134">
        <v>42468.422696594884</v>
      </c>
      <c r="H73" s="134">
        <v>42241.535897357644</v>
      </c>
      <c r="I73" s="134">
        <v>37309.934939569073</v>
      </c>
      <c r="J73" s="134">
        <v>39739.799022285952</v>
      </c>
      <c r="K73" s="134">
        <v>40252.016418742722</v>
      </c>
      <c r="L73" s="134">
        <v>39107.337491381426</v>
      </c>
      <c r="M73" s="134">
        <v>42539.611709402525</v>
      </c>
      <c r="N73" s="134">
        <v>39078.773892838937</v>
      </c>
      <c r="O73" s="134">
        <v>40887.09637575446</v>
      </c>
      <c r="P73" s="5">
        <f t="shared" si="4"/>
        <v>484493.92707599961</v>
      </c>
      <c r="Q73" s="5"/>
      <c r="R73" s="261"/>
      <c r="S73" s="5"/>
      <c r="Y73" s="273"/>
    </row>
    <row r="74" spans="1:25">
      <c r="A74" s="8">
        <f t="shared" si="0"/>
        <v>63</v>
      </c>
      <c r="B74" s="212">
        <v>8760</v>
      </c>
      <c r="C74" s="5" t="s">
        <v>299</v>
      </c>
      <c r="D74" s="134">
        <v>2344.4290131340676</v>
      </c>
      <c r="E74" s="134">
        <v>2566.8499992115276</v>
      </c>
      <c r="F74" s="134">
        <v>2809.96212235741</v>
      </c>
      <c r="G74" s="134">
        <v>2906.4802553995387</v>
      </c>
      <c r="H74" s="134">
        <v>2741.9660523122848</v>
      </c>
      <c r="I74" s="134">
        <v>2333.1225935684279</v>
      </c>
      <c r="J74" s="134">
        <v>2276.6718844308989</v>
      </c>
      <c r="K74" s="134">
        <v>2378.8906622469526</v>
      </c>
      <c r="L74" s="134">
        <v>2465.2233242305356</v>
      </c>
      <c r="M74" s="134">
        <v>2746.5891187811435</v>
      </c>
      <c r="N74" s="134">
        <v>2694.3617761524251</v>
      </c>
      <c r="O74" s="134">
        <v>2528.7966360621554</v>
      </c>
      <c r="P74" s="5">
        <f t="shared" si="4"/>
        <v>30793.343437887364</v>
      </c>
      <c r="Q74" s="5"/>
      <c r="R74" s="261"/>
      <c r="S74" s="5"/>
      <c r="Y74" s="273"/>
    </row>
    <row r="75" spans="1:25">
      <c r="A75" s="8">
        <f t="shared" si="0"/>
        <v>64</v>
      </c>
      <c r="B75" s="212">
        <v>8770</v>
      </c>
      <c r="C75" s="5" t="s">
        <v>300</v>
      </c>
      <c r="D75" s="134">
        <v>1602.0443650874861</v>
      </c>
      <c r="E75" s="134">
        <v>1789.5117499068542</v>
      </c>
      <c r="F75" s="134">
        <v>2317.2282613183643</v>
      </c>
      <c r="G75" s="134">
        <v>2340.414831662697</v>
      </c>
      <c r="H75" s="134">
        <v>2037.2281480856509</v>
      </c>
      <c r="I75" s="134">
        <v>1664.7184320584579</v>
      </c>
      <c r="J75" s="134">
        <v>1372.0203210213158</v>
      </c>
      <c r="K75" s="134">
        <v>1556.7050343499886</v>
      </c>
      <c r="L75" s="134">
        <v>1719.9396598412845</v>
      </c>
      <c r="M75" s="134">
        <v>1988.1019639340118</v>
      </c>
      <c r="N75" s="134">
        <v>2176.6279055323794</v>
      </c>
      <c r="O75" s="134">
        <v>1748.3669817906268</v>
      </c>
      <c r="P75" s="5">
        <f t="shared" si="4"/>
        <v>22312.907654589118</v>
      </c>
      <c r="Q75" s="5"/>
      <c r="R75" s="261"/>
      <c r="S75" s="5"/>
      <c r="Y75" s="273"/>
    </row>
    <row r="76" spans="1:25">
      <c r="A76" s="8">
        <f t="shared" si="0"/>
        <v>65</v>
      </c>
      <c r="B76" s="212">
        <v>8780</v>
      </c>
      <c r="C76" s="5" t="s">
        <v>301</v>
      </c>
      <c r="D76" s="134">
        <v>74919.278746305732</v>
      </c>
      <c r="E76" s="134">
        <v>80950.512710890936</v>
      </c>
      <c r="F76" s="134">
        <v>76193.481119244854</v>
      </c>
      <c r="G76" s="134">
        <v>78630.460781770918</v>
      </c>
      <c r="H76" s="134">
        <v>81482.019330508236</v>
      </c>
      <c r="I76" s="134">
        <v>72230.549298875339</v>
      </c>
      <c r="J76" s="134">
        <v>79815.946401293448</v>
      </c>
      <c r="K76" s="134">
        <v>80085.03250364089</v>
      </c>
      <c r="L76" s="134">
        <v>77239.102422903889</v>
      </c>
      <c r="M76" s="134">
        <v>83571.518911385268</v>
      </c>
      <c r="N76" s="134">
        <v>74938.725125394354</v>
      </c>
      <c r="O76" s="134">
        <v>80622.619504047398</v>
      </c>
      <c r="P76" s="5">
        <f t="shared" si="4"/>
        <v>940679.24685626116</v>
      </c>
      <c r="Q76" s="5"/>
      <c r="R76" s="261"/>
      <c r="S76" s="5"/>
      <c r="Y76" s="273"/>
    </row>
    <row r="77" spans="1:25">
      <c r="A77" s="8">
        <f t="shared" si="0"/>
        <v>66</v>
      </c>
      <c r="B77" s="212">
        <v>8790</v>
      </c>
      <c r="C77" s="5" t="s">
        <v>302</v>
      </c>
      <c r="D77" s="134">
        <v>291.55050888992213</v>
      </c>
      <c r="E77" s="134">
        <v>330.83057579508539</v>
      </c>
      <c r="F77" s="134">
        <v>450.28710942176758</v>
      </c>
      <c r="G77" s="134">
        <v>463.06572674740289</v>
      </c>
      <c r="H77" s="134">
        <v>389.22588585104268</v>
      </c>
      <c r="I77" s="134">
        <v>311.10971732129428</v>
      </c>
      <c r="J77" s="134">
        <v>238.52387872291183</v>
      </c>
      <c r="K77" s="134">
        <v>273.08203342180138</v>
      </c>
      <c r="L77" s="134">
        <v>321.80424960953866</v>
      </c>
      <c r="M77" s="134">
        <v>374.78051420201984</v>
      </c>
      <c r="N77" s="134">
        <v>418.29145688063022</v>
      </c>
      <c r="O77" s="134">
        <v>321.76231552254154</v>
      </c>
      <c r="P77" s="5">
        <f t="shared" si="4"/>
        <v>4184.3139723859586</v>
      </c>
      <c r="Q77" s="5"/>
      <c r="R77" s="261"/>
      <c r="S77" s="5"/>
      <c r="Y77" s="273"/>
    </row>
    <row r="78" spans="1:25">
      <c r="A78" s="8">
        <f t="shared" ref="A78:A110" si="5">A77+1</f>
        <v>67</v>
      </c>
      <c r="B78" s="212">
        <v>8800</v>
      </c>
      <c r="C78" s="5" t="s">
        <v>303</v>
      </c>
      <c r="D78" s="134">
        <v>11687.811420858941</v>
      </c>
      <c r="E78" s="134">
        <v>13199.969850333884</v>
      </c>
      <c r="F78" s="134">
        <v>11752.344023557342</v>
      </c>
      <c r="G78" s="134">
        <v>12051.520860491939</v>
      </c>
      <c r="H78" s="134">
        <v>12662.21455957141</v>
      </c>
      <c r="I78" s="134">
        <v>11084.453243367938</v>
      </c>
      <c r="J78" s="134">
        <v>12295.521114935536</v>
      </c>
      <c r="K78" s="134">
        <v>12271.969543565219</v>
      </c>
      <c r="L78" s="134">
        <v>11889.459584363591</v>
      </c>
      <c r="M78" s="134">
        <v>13033.806097362778</v>
      </c>
      <c r="N78" s="134">
        <v>11534.05501837657</v>
      </c>
      <c r="O78" s="134">
        <v>12327.486638495249</v>
      </c>
      <c r="P78" s="5">
        <f t="shared" si="4"/>
        <v>145790.61195528042</v>
      </c>
      <c r="Q78" s="5"/>
      <c r="R78" s="5"/>
      <c r="S78" s="5"/>
      <c r="Y78" s="273"/>
    </row>
    <row r="79" spans="1:25">
      <c r="A79" s="8">
        <f t="shared" si="5"/>
        <v>68</v>
      </c>
      <c r="B79" s="212">
        <v>8810</v>
      </c>
      <c r="C79" s="5" t="s">
        <v>304</v>
      </c>
      <c r="D79" s="134">
        <v>27811.64790188862</v>
      </c>
      <c r="E79" s="134">
        <v>29145.80693203372</v>
      </c>
      <c r="F79" s="134">
        <v>30784.271308276373</v>
      </c>
      <c r="G79" s="134">
        <v>27983.21129111452</v>
      </c>
      <c r="H79" s="134">
        <v>28877.015274327965</v>
      </c>
      <c r="I79" s="134">
        <v>26234.181582090252</v>
      </c>
      <c r="J79" s="134">
        <v>27789.006020814322</v>
      </c>
      <c r="K79" s="134">
        <v>30543.896720364472</v>
      </c>
      <c r="L79" s="134">
        <v>26576.724497062107</v>
      </c>
      <c r="M79" s="134">
        <v>29748.230200997299</v>
      </c>
      <c r="N79" s="134">
        <v>29745.806912429158</v>
      </c>
      <c r="O79" s="134">
        <v>29014.743836906771</v>
      </c>
      <c r="P79" s="5">
        <f t="shared" si="4"/>
        <v>344254.54247830564</v>
      </c>
      <c r="Q79" s="5"/>
      <c r="R79" s="5"/>
      <c r="S79" s="5"/>
      <c r="Y79" s="273"/>
    </row>
    <row r="80" spans="1:25">
      <c r="A80" s="8">
        <f t="shared" si="5"/>
        <v>69</v>
      </c>
      <c r="B80" s="212">
        <v>8850</v>
      </c>
      <c r="C80" s="5" t="s">
        <v>305</v>
      </c>
      <c r="D80" s="134">
        <v>104.7882242756082</v>
      </c>
      <c r="E80" s="134">
        <v>99.105220059866326</v>
      </c>
      <c r="F80" s="134">
        <v>103.24797079657534</v>
      </c>
      <c r="G80" s="134">
        <v>93.796125654206918</v>
      </c>
      <c r="H80" s="134">
        <v>98.559226757643657</v>
      </c>
      <c r="I80" s="134">
        <v>153.34976086006714</v>
      </c>
      <c r="J80" s="134">
        <v>135.19495243927381</v>
      </c>
      <c r="K80" s="134">
        <v>133.36789314000725</v>
      </c>
      <c r="L80" s="134">
        <v>132.83889573824285</v>
      </c>
      <c r="M80" s="134">
        <v>134.24849323250257</v>
      </c>
      <c r="N80" s="134">
        <v>105.72299880081432</v>
      </c>
      <c r="O80" s="134">
        <v>104.31233906277598</v>
      </c>
      <c r="P80" s="5">
        <f t="shared" si="4"/>
        <v>1398.5321008175843</v>
      </c>
      <c r="Q80" s="5"/>
      <c r="R80" s="5"/>
      <c r="S80" s="5"/>
      <c r="Y80" s="273"/>
    </row>
    <row r="81" spans="1:25">
      <c r="A81" s="8">
        <f t="shared" si="5"/>
        <v>70</v>
      </c>
      <c r="B81" s="212">
        <v>8860</v>
      </c>
      <c r="C81" s="5" t="s">
        <v>306</v>
      </c>
      <c r="D81" s="134">
        <v>21.762288025067189</v>
      </c>
      <c r="E81" s="134">
        <v>24.549359181245222</v>
      </c>
      <c r="F81" s="134">
        <v>32.80869151137356</v>
      </c>
      <c r="G81" s="134">
        <v>33.522309067922535</v>
      </c>
      <c r="H81" s="134">
        <v>28.534492332786037</v>
      </c>
      <c r="I81" s="134">
        <v>22.993415003722383</v>
      </c>
      <c r="J81" s="134">
        <v>18.117578411274408</v>
      </c>
      <c r="K81" s="134">
        <v>20.670504950599391</v>
      </c>
      <c r="L81" s="134">
        <v>23.773586802020912</v>
      </c>
      <c r="M81" s="134">
        <v>27.610750298747782</v>
      </c>
      <c r="N81" s="134">
        <v>30.600288868728018</v>
      </c>
      <c r="O81" s="134">
        <v>23.916832593997441</v>
      </c>
      <c r="P81" s="5">
        <f t="shared" si="4"/>
        <v>308.86009704748483</v>
      </c>
      <c r="Q81" s="5"/>
      <c r="R81" s="5"/>
      <c r="S81" s="5"/>
      <c r="Y81" s="273"/>
    </row>
    <row r="82" spans="1:25">
      <c r="A82" s="8">
        <f t="shared" si="5"/>
        <v>71</v>
      </c>
      <c r="B82" s="212">
        <v>8870</v>
      </c>
      <c r="C82" s="5" t="s">
        <v>307</v>
      </c>
      <c r="D82" s="134">
        <v>2378.3000338233833</v>
      </c>
      <c r="E82" s="134">
        <v>2491.4517815897702</v>
      </c>
      <c r="F82" s="134">
        <v>2927.1348771559228</v>
      </c>
      <c r="G82" s="134">
        <v>2882.0665001620314</v>
      </c>
      <c r="H82" s="134">
        <v>2590.7060500691841</v>
      </c>
      <c r="I82" s="134">
        <v>2353.1337449446914</v>
      </c>
      <c r="J82" s="134">
        <v>2470.0364184417986</v>
      </c>
      <c r="K82" s="134">
        <v>2502.1703268633892</v>
      </c>
      <c r="L82" s="134">
        <v>2281.1767625991033</v>
      </c>
      <c r="M82" s="134">
        <v>2488.6223807268689</v>
      </c>
      <c r="N82" s="134">
        <v>2234.4933051692801</v>
      </c>
      <c r="O82" s="134">
        <v>2423.8093673064473</v>
      </c>
      <c r="P82" s="5">
        <f t="shared" si="4"/>
        <v>30023.101548851871</v>
      </c>
      <c r="Q82" s="5"/>
      <c r="R82" s="225"/>
      <c r="S82" s="5"/>
      <c r="Y82" s="273"/>
    </row>
    <row r="83" spans="1:25">
      <c r="A83" s="8">
        <f t="shared" si="5"/>
        <v>72</v>
      </c>
      <c r="B83" s="212">
        <v>8890</v>
      </c>
      <c r="C83" s="226" t="s">
        <v>308</v>
      </c>
      <c r="D83" s="134">
        <v>2.6232761967087077</v>
      </c>
      <c r="E83" s="134">
        <v>2.9767054015136454</v>
      </c>
      <c r="F83" s="134">
        <v>4.0515362512259472</v>
      </c>
      <c r="G83" s="134">
        <v>4.1665140737131141</v>
      </c>
      <c r="H83" s="134">
        <v>3.5021273170934766</v>
      </c>
      <c r="I83" s="134">
        <v>2.799263561984942</v>
      </c>
      <c r="J83" s="134">
        <v>2.1461599082191753</v>
      </c>
      <c r="K83" s="134">
        <v>2.4571028901708964</v>
      </c>
      <c r="L83" s="134">
        <v>2.8954894684102217</v>
      </c>
      <c r="M83" s="134">
        <v>3.372152583920228</v>
      </c>
      <c r="N83" s="134">
        <v>3.7636498262325397</v>
      </c>
      <c r="O83" s="134">
        <v>2.8951121591999955</v>
      </c>
      <c r="P83" s="5">
        <f t="shared" si="4"/>
        <v>37.649089638392894</v>
      </c>
      <c r="Q83" s="5"/>
      <c r="R83" s="5"/>
      <c r="S83" s="5"/>
      <c r="Y83" s="273"/>
    </row>
    <row r="84" spans="1:25">
      <c r="A84" s="8">
        <f t="shared" si="5"/>
        <v>73</v>
      </c>
      <c r="B84" s="212">
        <v>8900</v>
      </c>
      <c r="C84" s="5" t="s">
        <v>309</v>
      </c>
      <c r="D84" s="134">
        <v>638.93953336095183</v>
      </c>
      <c r="E84" s="134">
        <v>725.02268826378827</v>
      </c>
      <c r="F84" s="134">
        <v>986.81438309895896</v>
      </c>
      <c r="G84" s="134">
        <v>1014.8190119439811</v>
      </c>
      <c r="H84" s="134">
        <v>852.99733080405781</v>
      </c>
      <c r="I84" s="134">
        <v>681.80398095061093</v>
      </c>
      <c r="J84" s="134">
        <v>522.73047420473756</v>
      </c>
      <c r="K84" s="134">
        <v>598.46545172611388</v>
      </c>
      <c r="L84" s="134">
        <v>705.24129030665279</v>
      </c>
      <c r="M84" s="134">
        <v>821.33997216731836</v>
      </c>
      <c r="N84" s="134">
        <v>916.69518700476851</v>
      </c>
      <c r="O84" s="134">
        <v>705.14939080670035</v>
      </c>
      <c r="P84" s="5">
        <f t="shared" si="4"/>
        <v>9170.0186946386402</v>
      </c>
      <c r="Q84" s="5"/>
      <c r="R84" s="5"/>
      <c r="S84" s="5"/>
      <c r="Y84" s="273"/>
    </row>
    <row r="85" spans="1:25">
      <c r="A85" s="8">
        <f t="shared" si="5"/>
        <v>74</v>
      </c>
      <c r="B85" s="212">
        <v>8910</v>
      </c>
      <c r="C85" s="5" t="s">
        <v>310</v>
      </c>
      <c r="D85" s="134">
        <v>310.47912685765004</v>
      </c>
      <c r="E85" s="134">
        <v>342.65906839047125</v>
      </c>
      <c r="F85" s="134">
        <v>426.1019534732261</v>
      </c>
      <c r="G85" s="134">
        <v>423.71396411067292</v>
      </c>
      <c r="H85" s="134">
        <v>379.96202296452452</v>
      </c>
      <c r="I85" s="134">
        <v>316.06999858189579</v>
      </c>
      <c r="J85" s="134">
        <v>274.87721578058199</v>
      </c>
      <c r="K85" s="134">
        <v>309.90722110280456</v>
      </c>
      <c r="L85" s="134">
        <v>326.25337055710253</v>
      </c>
      <c r="M85" s="134">
        <v>374.86746497234896</v>
      </c>
      <c r="N85" s="134">
        <v>404.00573543643463</v>
      </c>
      <c r="O85" s="134">
        <v>335.95586422304336</v>
      </c>
      <c r="P85" s="5">
        <f t="shared" si="4"/>
        <v>4224.8530064507568</v>
      </c>
      <c r="Q85" s="5"/>
      <c r="R85" s="5"/>
      <c r="S85" s="5"/>
      <c r="Y85" s="273"/>
    </row>
    <row r="86" spans="1:25">
      <c r="A86" s="8">
        <f t="shared" si="5"/>
        <v>75</v>
      </c>
      <c r="B86" s="212">
        <v>8920</v>
      </c>
      <c r="C86" s="5" t="s">
        <v>311</v>
      </c>
      <c r="D86" s="134">
        <v>7.4054417384335149</v>
      </c>
      <c r="E86" s="134">
        <v>8.4031633615426813</v>
      </c>
      <c r="F86" s="134">
        <v>11.437383412867028</v>
      </c>
      <c r="G86" s="134">
        <v>11.76196287068735</v>
      </c>
      <c r="H86" s="134">
        <v>9.8864160166784192</v>
      </c>
      <c r="I86" s="134">
        <v>7.9022495781450592</v>
      </c>
      <c r="J86" s="134">
        <v>6.0585546354666722</v>
      </c>
      <c r="K86" s="134">
        <v>6.936338736015176</v>
      </c>
      <c r="L86" s="134">
        <v>8.1738928556064341</v>
      </c>
      <c r="M86" s="134">
        <v>9.5195006628203096</v>
      </c>
      <c r="N86" s="134">
        <v>10.624687384042689</v>
      </c>
      <c r="O86" s="134">
        <v>8.1728277213376099</v>
      </c>
      <c r="P86" s="5">
        <f t="shared" si="4"/>
        <v>106.28241897364295</v>
      </c>
      <c r="Q86" s="5"/>
      <c r="R86" s="5"/>
      <c r="S86" s="5"/>
      <c r="Y86" s="273"/>
    </row>
    <row r="87" spans="1:25">
      <c r="A87" s="8">
        <f t="shared" si="5"/>
        <v>76</v>
      </c>
      <c r="B87" s="212">
        <v>8930</v>
      </c>
      <c r="C87" s="5" t="s">
        <v>312</v>
      </c>
      <c r="D87" s="134">
        <v>7225.739916185109</v>
      </c>
      <c r="E87" s="134">
        <v>7817.6583541071222</v>
      </c>
      <c r="F87" s="134">
        <v>7225.739916185109</v>
      </c>
      <c r="G87" s="134">
        <v>7521.6993920121904</v>
      </c>
      <c r="H87" s="134">
        <v>7817.6583541071222</v>
      </c>
      <c r="I87" s="134">
        <v>6929.7626093460422</v>
      </c>
      <c r="J87" s="134">
        <v>7747.3503737725559</v>
      </c>
      <c r="K87" s="134">
        <v>7747.3503737725559</v>
      </c>
      <c r="L87" s="134">
        <v>7442.512113670663</v>
      </c>
      <c r="M87" s="134">
        <v>8052.1881047303368</v>
      </c>
      <c r="N87" s="134">
        <v>7137.6740540865385</v>
      </c>
      <c r="O87" s="134">
        <v>7747.3503737725559</v>
      </c>
      <c r="P87" s="5">
        <f t="shared" si="4"/>
        <v>90412.683935747889</v>
      </c>
      <c r="Q87" s="5"/>
      <c r="R87" s="5"/>
      <c r="S87" s="5"/>
      <c r="Y87" s="273"/>
    </row>
    <row r="88" spans="1:25">
      <c r="A88" s="8">
        <f t="shared" si="5"/>
        <v>77</v>
      </c>
      <c r="B88" s="212">
        <v>8940</v>
      </c>
      <c r="C88" s="5" t="s">
        <v>313</v>
      </c>
      <c r="D88" s="134">
        <v>739.73195846633803</v>
      </c>
      <c r="E88" s="134">
        <v>958.44604793110409</v>
      </c>
      <c r="F88" s="134">
        <v>1165.541372859328</v>
      </c>
      <c r="G88" s="134">
        <v>1175.6552792708312</v>
      </c>
      <c r="H88" s="134">
        <v>985.45750917093892</v>
      </c>
      <c r="I88" s="134">
        <v>791.55360975802569</v>
      </c>
      <c r="J88" s="134">
        <v>614.48478615254703</v>
      </c>
      <c r="K88" s="134">
        <v>701.039180255666</v>
      </c>
      <c r="L88" s="134">
        <v>819.11890968288139</v>
      </c>
      <c r="M88" s="134">
        <v>950.47680750504344</v>
      </c>
      <c r="N88" s="134">
        <v>1059.3478260606391</v>
      </c>
      <c r="O88" s="134">
        <v>818.18529972031399</v>
      </c>
      <c r="P88" s="5">
        <f t="shared" si="4"/>
        <v>10779.038586833656</v>
      </c>
      <c r="Q88" s="5"/>
      <c r="R88" s="5"/>
      <c r="S88" s="5"/>
      <c r="Y88" s="273"/>
    </row>
    <row r="89" spans="1:25">
      <c r="A89" s="8">
        <f t="shared" si="5"/>
        <v>78</v>
      </c>
      <c r="B89" s="212">
        <v>9010</v>
      </c>
      <c r="C89" s="9" t="s">
        <v>314</v>
      </c>
      <c r="D89" s="134">
        <v>29.964446471664957</v>
      </c>
      <c r="E89" s="134">
        <v>33.744926615890883</v>
      </c>
      <c r="F89" s="134">
        <v>43.633576826939262</v>
      </c>
      <c r="G89" s="134">
        <v>44.932966624250298</v>
      </c>
      <c r="H89" s="134">
        <v>38.773465104286977</v>
      </c>
      <c r="I89" s="134">
        <v>31.449720394447262</v>
      </c>
      <c r="J89" s="134">
        <v>25.748936205904474</v>
      </c>
      <c r="K89" s="134">
        <v>28.724808939944086</v>
      </c>
      <c r="L89" s="134">
        <v>32.715410634467048</v>
      </c>
      <c r="M89" s="134">
        <v>37.68723793664774</v>
      </c>
      <c r="N89" s="134">
        <v>40.819152642886415</v>
      </c>
      <c r="O89" s="134">
        <v>32.916766683382399</v>
      </c>
      <c r="P89" s="5">
        <f t="shared" si="4"/>
        <v>421.11141508071182</v>
      </c>
      <c r="Q89" s="5"/>
      <c r="R89" s="5"/>
      <c r="S89" s="5"/>
      <c r="Y89" s="273"/>
    </row>
    <row r="90" spans="1:25">
      <c r="A90" s="8">
        <f t="shared" si="5"/>
        <v>79</v>
      </c>
      <c r="B90" s="212">
        <v>9020</v>
      </c>
      <c r="C90" s="5" t="s">
        <v>315</v>
      </c>
      <c r="D90" s="134">
        <v>98184.772679432994</v>
      </c>
      <c r="E90" s="134">
        <v>94615.534025949106</v>
      </c>
      <c r="F90" s="134">
        <v>169881.83577302637</v>
      </c>
      <c r="G90" s="134">
        <v>152858.51508531618</v>
      </c>
      <c r="H90" s="134">
        <v>107643.29217139675</v>
      </c>
      <c r="I90" s="134">
        <v>104495.02963436945</v>
      </c>
      <c r="J90" s="134">
        <v>95807.49470694123</v>
      </c>
      <c r="K90" s="134">
        <v>100276.7350076838</v>
      </c>
      <c r="L90" s="134">
        <v>77338.846168068703</v>
      </c>
      <c r="M90" s="134">
        <v>85797.39417717859</v>
      </c>
      <c r="N90" s="134">
        <v>77031.942487349559</v>
      </c>
      <c r="O90" s="134">
        <v>87901.85785513946</v>
      </c>
      <c r="P90" s="5">
        <f t="shared" si="4"/>
        <v>1251833.2497718523</v>
      </c>
      <c r="Q90" s="5"/>
      <c r="R90" s="5"/>
      <c r="S90" s="5"/>
      <c r="Y90" s="273"/>
    </row>
    <row r="91" spans="1:25">
      <c r="A91" s="8">
        <f t="shared" si="5"/>
        <v>80</v>
      </c>
      <c r="B91" s="212">
        <v>9030</v>
      </c>
      <c r="C91" s="5" t="s">
        <v>316</v>
      </c>
      <c r="D91" s="134">
        <v>137945.51274153357</v>
      </c>
      <c r="E91" s="134">
        <v>128420.00236607419</v>
      </c>
      <c r="F91" s="134">
        <v>263487.6103323634</v>
      </c>
      <c r="G91" s="134">
        <v>233867.30334301476</v>
      </c>
      <c r="H91" s="134">
        <v>149630.30272488494</v>
      </c>
      <c r="I91" s="134">
        <v>148459.65382335737</v>
      </c>
      <c r="J91" s="134">
        <v>132539.90510033013</v>
      </c>
      <c r="K91" s="134">
        <v>138465.50708497077</v>
      </c>
      <c r="L91" s="134">
        <v>99898.732163102482</v>
      </c>
      <c r="M91" s="134">
        <v>111479.40818925994</v>
      </c>
      <c r="N91" s="134">
        <v>101273.5014738903</v>
      </c>
      <c r="O91" s="134">
        <v>116931.77496762756</v>
      </c>
      <c r="P91" s="5">
        <f t="shared" si="4"/>
        <v>1762399.2143104097</v>
      </c>
      <c r="Q91" s="5"/>
      <c r="R91" s="5"/>
      <c r="S91" s="5"/>
      <c r="Y91" s="273"/>
    </row>
    <row r="92" spans="1:25">
      <c r="A92" s="8">
        <f t="shared" si="5"/>
        <v>81</v>
      </c>
      <c r="B92" s="212">
        <v>9040</v>
      </c>
      <c r="C92" s="5" t="s">
        <v>317</v>
      </c>
      <c r="D92" s="116">
        <f>-0.005*SUM(D17,D19,D23,D35,D36,D38)</f>
        <v>23762.019539619268</v>
      </c>
      <c r="E92" s="116">
        <f t="shared" ref="E92:O92" si="6">-0.005*SUM(E17,E19,E23,E35,E36,E38)</f>
        <v>24524.91013879031</v>
      </c>
      <c r="F92" s="116">
        <f t="shared" si="6"/>
        <v>22207.571712194829</v>
      </c>
      <c r="G92" s="116">
        <f t="shared" si="6"/>
        <v>22172.952463907117</v>
      </c>
      <c r="H92" s="116">
        <f t="shared" si="6"/>
        <v>21871.741500848806</v>
      </c>
      <c r="I92" s="116">
        <f t="shared" si="6"/>
        <v>21676.185075813533</v>
      </c>
      <c r="J92" s="116">
        <f t="shared" si="6"/>
        <v>26560.646474999423</v>
      </c>
      <c r="K92" s="116">
        <f t="shared" si="6"/>
        <v>41415.794541249801</v>
      </c>
      <c r="L92" s="116">
        <f t="shared" si="6"/>
        <v>48376.670007436762</v>
      </c>
      <c r="M92" s="116">
        <f t="shared" si="6"/>
        <v>43272.442111191995</v>
      </c>
      <c r="N92" s="116">
        <f t="shared" si="6"/>
        <v>32334.096447797128</v>
      </c>
      <c r="O92" s="116">
        <f t="shared" si="6"/>
        <v>33937.228919765541</v>
      </c>
      <c r="P92" s="5">
        <f t="shared" si="4"/>
        <v>362112.25893361459</v>
      </c>
      <c r="Q92" s="5"/>
      <c r="R92" s="5"/>
      <c r="S92" s="5"/>
      <c r="Y92" s="273"/>
    </row>
    <row r="93" spans="1:25">
      <c r="A93" s="8">
        <f t="shared" si="5"/>
        <v>82</v>
      </c>
      <c r="B93" s="212">
        <v>9090</v>
      </c>
      <c r="C93" s="5" t="s">
        <v>318</v>
      </c>
      <c r="D93" s="134">
        <v>10350.161930931572</v>
      </c>
      <c r="E93" s="134">
        <v>11828.592231850018</v>
      </c>
      <c r="F93" s="134">
        <v>11320.247077611837</v>
      </c>
      <c r="G93" s="134">
        <v>10421.565545191741</v>
      </c>
      <c r="H93" s="134">
        <v>11550.703083881974</v>
      </c>
      <c r="I93" s="134">
        <v>10573.123926201017</v>
      </c>
      <c r="J93" s="134">
        <v>11396.692558951923</v>
      </c>
      <c r="K93" s="134">
        <v>11296.252448389952</v>
      </c>
      <c r="L93" s="134">
        <v>10930.922594183961</v>
      </c>
      <c r="M93" s="134">
        <v>11375.256530130215</v>
      </c>
      <c r="N93" s="134">
        <v>10620.779550085845</v>
      </c>
      <c r="O93" s="134">
        <v>11949.308690249993</v>
      </c>
      <c r="P93" s="5">
        <f t="shared" si="4"/>
        <v>133613.60616766004</v>
      </c>
      <c r="Q93" s="5"/>
      <c r="R93" s="225"/>
      <c r="S93" s="5"/>
      <c r="Y93" s="273"/>
    </row>
    <row r="94" spans="1:25">
      <c r="A94" s="8">
        <f t="shared" si="5"/>
        <v>83</v>
      </c>
      <c r="B94" s="212">
        <v>9100</v>
      </c>
      <c r="C94" s="5" t="s">
        <v>319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5">
        <f t="shared" si="4"/>
        <v>0</v>
      </c>
      <c r="Q94" s="5"/>
      <c r="R94" s="225"/>
      <c r="S94" s="5"/>
      <c r="Y94" s="273"/>
    </row>
    <row r="95" spans="1:25">
      <c r="A95" s="8">
        <f t="shared" si="5"/>
        <v>84</v>
      </c>
      <c r="B95" s="212">
        <v>9110</v>
      </c>
      <c r="C95" s="5" t="s">
        <v>320</v>
      </c>
      <c r="D95" s="134">
        <v>20597.208221392673</v>
      </c>
      <c r="E95" s="134">
        <v>21913.258671345604</v>
      </c>
      <c r="F95" s="134">
        <v>23031.180828829736</v>
      </c>
      <c r="G95" s="134">
        <v>20353.737963201595</v>
      </c>
      <c r="H95" s="134">
        <v>23366.708091721863</v>
      </c>
      <c r="I95" s="134">
        <v>21661.744844618865</v>
      </c>
      <c r="J95" s="134">
        <v>22848.209658092157</v>
      </c>
      <c r="K95" s="134">
        <v>22560.913459615582</v>
      </c>
      <c r="L95" s="134">
        <v>21987.403035531112</v>
      </c>
      <c r="M95" s="134">
        <v>22486.174644204235</v>
      </c>
      <c r="N95" s="134">
        <v>21541.185754824724</v>
      </c>
      <c r="O95" s="134">
        <v>24613.937738297598</v>
      </c>
      <c r="P95" s="5">
        <f t="shared" si="4"/>
        <v>266961.66291167575</v>
      </c>
      <c r="Q95" s="5"/>
      <c r="R95" s="225"/>
      <c r="S95" s="5"/>
      <c r="Y95" s="273"/>
    </row>
    <row r="96" spans="1:25">
      <c r="A96" s="8">
        <f t="shared" si="5"/>
        <v>85</v>
      </c>
      <c r="B96" s="212">
        <v>9120</v>
      </c>
      <c r="C96" s="5" t="s">
        <v>321</v>
      </c>
      <c r="D96" s="134">
        <v>9558.9681418768268</v>
      </c>
      <c r="E96" s="134">
        <v>10173.344529650938</v>
      </c>
      <c r="F96" s="134">
        <v>11196.538283443333</v>
      </c>
      <c r="G96" s="134">
        <v>9410.9747929858204</v>
      </c>
      <c r="H96" s="134">
        <v>11651.106127980333</v>
      </c>
      <c r="I96" s="134">
        <v>12074.401517085496</v>
      </c>
      <c r="J96" s="134">
        <v>12910.311088777229</v>
      </c>
      <c r="K96" s="134">
        <v>6569.8752645233899</v>
      </c>
      <c r="L96" s="134">
        <v>10032.512903661907</v>
      </c>
      <c r="M96" s="134">
        <v>12221.323795077822</v>
      </c>
      <c r="N96" s="134">
        <v>12061.722957052425</v>
      </c>
      <c r="O96" s="134">
        <v>13428.863955872168</v>
      </c>
      <c r="P96" s="5">
        <f t="shared" si="4"/>
        <v>131289.94335798768</v>
      </c>
      <c r="Q96" s="5"/>
      <c r="R96" s="225"/>
      <c r="S96" s="5"/>
      <c r="Y96" s="273"/>
    </row>
    <row r="97" spans="1:25">
      <c r="A97" s="8">
        <f t="shared" si="5"/>
        <v>86</v>
      </c>
      <c r="B97" s="212">
        <v>9130</v>
      </c>
      <c r="C97" s="5" t="s">
        <v>322</v>
      </c>
      <c r="D97" s="134">
        <v>3474.6082106275394</v>
      </c>
      <c r="E97" s="134">
        <v>3621.5605473755786</v>
      </c>
      <c r="F97" s="134">
        <v>4043.2984252652363</v>
      </c>
      <c r="G97" s="134">
        <v>2837.6476025595707</v>
      </c>
      <c r="H97" s="134">
        <v>4175.8490290029549</v>
      </c>
      <c r="I97" s="134">
        <v>4392.5689690486752</v>
      </c>
      <c r="J97" s="134">
        <v>4172.0275790556625</v>
      </c>
      <c r="K97" s="134">
        <v>2317.9921993413336</v>
      </c>
      <c r="L97" s="134">
        <v>3367.2511335634836</v>
      </c>
      <c r="M97" s="134">
        <v>4040.8125815806166</v>
      </c>
      <c r="N97" s="134">
        <v>4282.6523760684295</v>
      </c>
      <c r="O97" s="134">
        <v>4756.7545749398332</v>
      </c>
      <c r="P97" s="5">
        <f t="shared" si="4"/>
        <v>45483.023228428916</v>
      </c>
      <c r="Q97" s="5"/>
      <c r="R97" s="225"/>
      <c r="S97" s="5"/>
      <c r="Y97" s="273"/>
    </row>
    <row r="98" spans="1:25">
      <c r="A98" s="8">
        <f t="shared" si="5"/>
        <v>87</v>
      </c>
      <c r="B98" s="212">
        <v>9200</v>
      </c>
      <c r="C98" s="213" t="s">
        <v>349</v>
      </c>
      <c r="D98" s="134">
        <v>11409.918984015183</v>
      </c>
      <c r="E98" s="134">
        <v>12344.597162329785</v>
      </c>
      <c r="F98" s="134">
        <v>11409.918984015183</v>
      </c>
      <c r="G98" s="134">
        <v>11877.258478780925</v>
      </c>
      <c r="H98" s="134">
        <v>12344.597162329785</v>
      </c>
      <c r="I98" s="134">
        <v>10942.551332907737</v>
      </c>
      <c r="J98" s="134">
        <v>12233.576233144351</v>
      </c>
      <c r="K98" s="134">
        <v>12233.576233144351</v>
      </c>
      <c r="L98" s="134">
        <v>11752.21655353564</v>
      </c>
      <c r="M98" s="134">
        <v>12714.935077199678</v>
      </c>
      <c r="N98" s="134">
        <v>11270.857190557683</v>
      </c>
      <c r="O98" s="134">
        <v>12233.576233144351</v>
      </c>
      <c r="P98" s="5">
        <f t="shared" si="4"/>
        <v>142767.57962510464</v>
      </c>
      <c r="Q98" s="5"/>
      <c r="R98" s="225"/>
      <c r="S98" s="5"/>
      <c r="Y98" s="273"/>
    </row>
    <row r="99" spans="1:25">
      <c r="A99" s="8">
        <f t="shared" si="5"/>
        <v>88</v>
      </c>
      <c r="B99" s="212">
        <v>9210</v>
      </c>
      <c r="C99" s="5" t="s">
        <v>324</v>
      </c>
      <c r="D99" s="134">
        <v>276.02232274503115</v>
      </c>
      <c r="E99" s="134">
        <v>-1.7813642583690239</v>
      </c>
      <c r="F99" s="134">
        <v>275.12738362943463</v>
      </c>
      <c r="G99" s="134">
        <v>212.74542055867269</v>
      </c>
      <c r="H99" s="134">
        <v>339.08952270284476</v>
      </c>
      <c r="I99" s="134">
        <v>344.65734059521515</v>
      </c>
      <c r="J99" s="134">
        <v>308.85523548641817</v>
      </c>
      <c r="K99" s="134">
        <v>194.54688484462145</v>
      </c>
      <c r="L99" s="134">
        <v>270.37413966801546</v>
      </c>
      <c r="M99" s="134">
        <v>311.90404145912532</v>
      </c>
      <c r="N99" s="134">
        <v>335.38674505512029</v>
      </c>
      <c r="O99" s="134">
        <v>381.66295727929759</v>
      </c>
      <c r="P99" s="5">
        <f t="shared" si="4"/>
        <v>3248.5906297654274</v>
      </c>
      <c r="Q99" s="5"/>
      <c r="R99" s="225"/>
      <c r="S99" s="5"/>
      <c r="Y99" s="273"/>
    </row>
    <row r="100" spans="1:25">
      <c r="A100" s="8">
        <f t="shared" si="5"/>
        <v>89</v>
      </c>
      <c r="B100" s="212">
        <v>9220</v>
      </c>
      <c r="C100" s="5" t="s">
        <v>325</v>
      </c>
      <c r="D100" s="116">
        <f>-('C.2.2-F 02'!D40+'C.2.2-F 12'!D34+'C.2.2-F 91'!D54)</f>
        <v>1130261.4518681839</v>
      </c>
      <c r="E100" s="116">
        <f>-('C.2.2-F 02'!E40+'C.2.2-F 12'!E34+'C.2.2-F 91'!E54)</f>
        <v>1341586.5165425453</v>
      </c>
      <c r="F100" s="116">
        <f>-('C.2.2-F 02'!F40+'C.2.2-F 12'!F34+'C.2.2-F 91'!F54)</f>
        <v>1109128.0612388612</v>
      </c>
      <c r="G100" s="116">
        <f>-('C.2.2-F 02'!G40+'C.2.2-F 12'!G34+'C.2.2-F 91'!G54)</f>
        <v>1227313.9963896247</v>
      </c>
      <c r="H100" s="116">
        <f>-('C.2.2-F 02'!H40+'C.2.2-F 12'!H34+'C.2.2-F 91'!H54)</f>
        <v>1073977.5463626168</v>
      </c>
      <c r="I100" s="116">
        <f>-('C.2.2-F 02'!I40+'C.2.2-F 12'!I34+'C.2.2-F 91'!I54)</f>
        <v>1082149.5749878115</v>
      </c>
      <c r="J100" s="116">
        <f>-('C.2.2-F 02'!J40+'C.2.2-F 12'!J34+'C.2.2-F 91'!J54)</f>
        <v>1128652.9144877233</v>
      </c>
      <c r="K100" s="116">
        <f>-('C.2.2-F 02'!K40+'C.2.2-F 12'!K34+'C.2.2-F 91'!K54)</f>
        <v>1161122.367336801</v>
      </c>
      <c r="L100" s="116">
        <f>-('C.2.2-F 02'!L40+'C.2.2-F 12'!L34+'C.2.2-F 91'!L54)</f>
        <v>1134121.3818485965</v>
      </c>
      <c r="M100" s="116">
        <f>-('C.2.2-F 02'!M40+'C.2.2-F 12'!M34+'C.2.2-F 91'!M54)</f>
        <v>1216346.9526900069</v>
      </c>
      <c r="N100" s="116">
        <f>-('C.2.2-F 02'!N40+'C.2.2-F 12'!N34+'C.2.2-F 91'!N54)</f>
        <v>1110581.1285678549</v>
      </c>
      <c r="O100" s="116">
        <f>-('C.2.2-F 02'!O40+'C.2.2-F 12'!O34+'C.2.2-F 91'!O54)</f>
        <v>1297158.9379404597</v>
      </c>
      <c r="P100" s="5">
        <f>SUM(D100:O100)</f>
        <v>14012400.830261085</v>
      </c>
      <c r="Q100" s="196"/>
      <c r="R100" s="225"/>
      <c r="S100" s="5"/>
      <c r="Y100" s="273"/>
    </row>
    <row r="101" spans="1:25">
      <c r="A101" s="8">
        <f t="shared" si="5"/>
        <v>90</v>
      </c>
      <c r="B101" s="212">
        <v>9230</v>
      </c>
      <c r="C101" s="5" t="s">
        <v>326</v>
      </c>
      <c r="D101" s="134">
        <v>5442.351102246299</v>
      </c>
      <c r="E101" s="134">
        <v>4813.2924053762554</v>
      </c>
      <c r="F101" s="134">
        <v>11892.230639486997</v>
      </c>
      <c r="G101" s="134">
        <v>10316.727211396368</v>
      </c>
      <c r="H101" s="134">
        <v>5892.1792087130416</v>
      </c>
      <c r="I101" s="134">
        <v>6037.2621747849598</v>
      </c>
      <c r="J101" s="134">
        <v>5045.9183349906152</v>
      </c>
      <c r="K101" s="134">
        <v>5349.0562074909139</v>
      </c>
      <c r="L101" s="134">
        <v>3418.6418831471237</v>
      </c>
      <c r="M101" s="134">
        <v>3879.5675678206553</v>
      </c>
      <c r="N101" s="134">
        <v>3544.5241579758367</v>
      </c>
      <c r="O101" s="134">
        <v>4217.7850731271619</v>
      </c>
      <c r="P101" s="5">
        <f t="shared" si="4"/>
        <v>69849.535966556228</v>
      </c>
      <c r="Q101" s="5"/>
      <c r="R101" s="225"/>
      <c r="S101" s="5"/>
      <c r="Y101" s="273"/>
    </row>
    <row r="102" spans="1:25">
      <c r="A102" s="8">
        <f t="shared" si="5"/>
        <v>91</v>
      </c>
      <c r="B102" s="212">
        <v>9240</v>
      </c>
      <c r="C102" s="5" t="s">
        <v>327</v>
      </c>
      <c r="D102" s="134">
        <v>394.33366306974824</v>
      </c>
      <c r="E102" s="134">
        <v>591.50049460462242</v>
      </c>
      <c r="F102" s="134">
        <v>394.33366306974824</v>
      </c>
      <c r="G102" s="134">
        <v>531.92653645636017</v>
      </c>
      <c r="H102" s="134">
        <v>394.33366306974824</v>
      </c>
      <c r="I102" s="134">
        <v>394.33366306974824</v>
      </c>
      <c r="J102" s="134">
        <v>394.33366306974824</v>
      </c>
      <c r="K102" s="134">
        <v>394.33366306974824</v>
      </c>
      <c r="L102" s="134">
        <v>394.33366306974824</v>
      </c>
      <c r="M102" s="134">
        <v>887.25074190693363</v>
      </c>
      <c r="N102" s="134">
        <v>394.33366306974824</v>
      </c>
      <c r="O102" s="134">
        <v>394.33366306974824</v>
      </c>
      <c r="P102" s="5">
        <f t="shared" si="4"/>
        <v>5559.6807405956506</v>
      </c>
      <c r="Q102" s="5"/>
      <c r="R102" s="225"/>
      <c r="S102" s="5"/>
      <c r="Y102" s="273"/>
    </row>
    <row r="103" spans="1:25">
      <c r="A103" s="8">
        <f t="shared" si="5"/>
        <v>92</v>
      </c>
      <c r="B103" s="212">
        <v>9250</v>
      </c>
      <c r="C103" s="5" t="s">
        <v>328</v>
      </c>
      <c r="D103" s="134">
        <v>1321.15136120696</v>
      </c>
      <c r="E103" s="134">
        <v>1247.1102885828886</v>
      </c>
      <c r="F103" s="134">
        <v>2509.3293258125286</v>
      </c>
      <c r="G103" s="134">
        <v>2074.4124744442711</v>
      </c>
      <c r="H103" s="134">
        <v>1370.6078478838629</v>
      </c>
      <c r="I103" s="134">
        <v>1738.8079264292269</v>
      </c>
      <c r="J103" s="134">
        <v>1404.6870737932436</v>
      </c>
      <c r="K103" s="134">
        <v>1574.4198452007522</v>
      </c>
      <c r="L103" s="134">
        <v>1068.4357395239983</v>
      </c>
      <c r="M103" s="134">
        <v>1191.4984498848471</v>
      </c>
      <c r="N103" s="134">
        <v>1139.3669154324514</v>
      </c>
      <c r="O103" s="134">
        <v>1301.559650884752</v>
      </c>
      <c r="P103" s="5">
        <f t="shared" si="4"/>
        <v>17941.386899079786</v>
      </c>
      <c r="Q103" s="5"/>
      <c r="R103" s="225"/>
      <c r="S103" s="5"/>
      <c r="Y103" s="273"/>
    </row>
    <row r="104" spans="1:25">
      <c r="A104" s="8">
        <f t="shared" si="5"/>
        <v>93</v>
      </c>
      <c r="B104" s="212">
        <v>9260</v>
      </c>
      <c r="C104" s="5" t="s">
        <v>329</v>
      </c>
      <c r="D104" s="134">
        <v>134036.64589471029</v>
      </c>
      <c r="E104" s="134">
        <v>145518.61444494256</v>
      </c>
      <c r="F104" s="134">
        <v>135758.4131632403</v>
      </c>
      <c r="G104" s="134">
        <v>137968.09830108209</v>
      </c>
      <c r="H104" s="134">
        <v>143859.86088830727</v>
      </c>
      <c r="I104" s="134">
        <v>135503.41628060065</v>
      </c>
      <c r="J104" s="134">
        <v>170236.288926373</v>
      </c>
      <c r="K104" s="134">
        <v>173140.01823495477</v>
      </c>
      <c r="L104" s="134">
        <v>162987.83292098774</v>
      </c>
      <c r="M104" s="134">
        <v>175837.16070539309</v>
      </c>
      <c r="N104" s="134">
        <v>157329.40461890862</v>
      </c>
      <c r="O104" s="134">
        <v>171023.60665024107</v>
      </c>
      <c r="P104" s="5">
        <f t="shared" si="4"/>
        <v>1843199.3610297418</v>
      </c>
      <c r="Q104" s="5"/>
      <c r="R104" s="225"/>
      <c r="S104" s="5"/>
      <c r="Y104" s="273"/>
    </row>
    <row r="105" spans="1:25">
      <c r="A105" s="8">
        <f t="shared" si="5"/>
        <v>94</v>
      </c>
      <c r="B105" s="212">
        <v>9270</v>
      </c>
      <c r="C105" s="5" t="s">
        <v>330</v>
      </c>
      <c r="D105" s="134">
        <v>26.295250087442181</v>
      </c>
      <c r="E105" s="134">
        <v>823.80355297940935</v>
      </c>
      <c r="F105" s="134">
        <v>199.98449944893267</v>
      </c>
      <c r="G105" s="134">
        <v>53.75512915158901</v>
      </c>
      <c r="H105" s="134">
        <v>21.136297982106768</v>
      </c>
      <c r="I105" s="134">
        <v>42.785600433579511</v>
      </c>
      <c r="J105" s="134">
        <v>82.987592800505183</v>
      </c>
      <c r="K105" s="134">
        <v>77.835902190061532</v>
      </c>
      <c r="L105" s="134">
        <v>47.88898431433725</v>
      </c>
      <c r="M105" s="134">
        <v>32.664931964851249</v>
      </c>
      <c r="N105" s="134">
        <v>31.569702114790584</v>
      </c>
      <c r="O105" s="134">
        <v>42.328200774064179</v>
      </c>
      <c r="P105" s="5">
        <f t="shared" si="4"/>
        <v>1483.0356442416694</v>
      </c>
      <c r="Q105" s="5"/>
      <c r="R105" s="225"/>
      <c r="S105" s="5"/>
      <c r="Y105" s="273"/>
    </row>
    <row r="106" spans="1:25">
      <c r="A106" s="8">
        <f t="shared" si="5"/>
        <v>95</v>
      </c>
      <c r="B106" s="212">
        <v>9280</v>
      </c>
      <c r="C106" s="5" t="s">
        <v>331</v>
      </c>
      <c r="D106" s="134">
        <v>0</v>
      </c>
      <c r="E106" s="134">
        <v>0</v>
      </c>
      <c r="F106" s="134">
        <v>0</v>
      </c>
      <c r="G106" s="134">
        <v>0</v>
      </c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5">
        <f t="shared" si="4"/>
        <v>0</v>
      </c>
      <c r="Q106" s="5"/>
      <c r="R106" s="225"/>
      <c r="S106" s="5"/>
      <c r="Y106" s="273"/>
    </row>
    <row r="107" spans="1:25">
      <c r="A107" s="8">
        <f t="shared" si="5"/>
        <v>96</v>
      </c>
      <c r="B107" s="212">
        <v>9302</v>
      </c>
      <c r="C107" s="5" t="s">
        <v>332</v>
      </c>
      <c r="D107" s="134">
        <v>332.40281215901928</v>
      </c>
      <c r="E107" s="134">
        <v>1976.360423898564</v>
      </c>
      <c r="F107" s="134">
        <v>1165.4206743832085</v>
      </c>
      <c r="G107" s="134">
        <v>11797.878625976371</v>
      </c>
      <c r="H107" s="134">
        <v>1983.9933773629566</v>
      </c>
      <c r="I107" s="134">
        <v>384.52029011481613</v>
      </c>
      <c r="J107" s="134">
        <v>10935.477996652693</v>
      </c>
      <c r="K107" s="134">
        <v>684.21630705275663</v>
      </c>
      <c r="L107" s="134">
        <v>5642.6403298598962</v>
      </c>
      <c r="M107" s="134">
        <v>8408.650308341952</v>
      </c>
      <c r="N107" s="134">
        <v>2802.6727775416689</v>
      </c>
      <c r="O107" s="134">
        <v>3586.6673805800356</v>
      </c>
      <c r="P107" s="5">
        <f t="shared" si="4"/>
        <v>49700.901303923936</v>
      </c>
      <c r="Q107" s="5"/>
      <c r="R107" s="190"/>
      <c r="S107" s="5"/>
      <c r="Y107" s="273"/>
    </row>
    <row r="108" spans="1:25">
      <c r="A108" s="8">
        <f t="shared" si="5"/>
        <v>97</v>
      </c>
      <c r="B108" s="212">
        <v>9310</v>
      </c>
      <c r="C108" s="213" t="s">
        <v>209</v>
      </c>
      <c r="D108" s="134">
        <v>1033.6335084915243</v>
      </c>
      <c r="E108" s="134">
        <v>1086.7207252654891</v>
      </c>
      <c r="F108" s="134">
        <v>1119.3941648888872</v>
      </c>
      <c r="G108" s="134">
        <v>1021.8603753481474</v>
      </c>
      <c r="H108" s="134">
        <v>1071.552357667365</v>
      </c>
      <c r="I108" s="134">
        <v>966.90788596976756</v>
      </c>
      <c r="J108" s="134">
        <v>1031.9730262605183</v>
      </c>
      <c r="K108" s="134">
        <v>1138.6707588720099</v>
      </c>
      <c r="L108" s="134">
        <v>994.05880373996285</v>
      </c>
      <c r="M108" s="134">
        <v>1112.2114043128511</v>
      </c>
      <c r="N108" s="134">
        <v>1112.9056461137895</v>
      </c>
      <c r="O108" s="134">
        <v>1080.9469029778534</v>
      </c>
      <c r="P108" s="5">
        <f t="shared" si="4"/>
        <v>12770.835559908166</v>
      </c>
      <c r="Q108" s="5"/>
      <c r="R108" s="190"/>
      <c r="S108" s="5"/>
      <c r="Y108" s="273"/>
    </row>
    <row r="109" spans="1:25">
      <c r="A109" s="8">
        <f t="shared" si="5"/>
        <v>98</v>
      </c>
      <c r="B109" s="212">
        <v>9320</v>
      </c>
      <c r="C109" s="9" t="s">
        <v>333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5">
        <f>SUM(D109:O109)</f>
        <v>0</v>
      </c>
      <c r="Q109" s="5"/>
      <c r="R109" s="5"/>
      <c r="S109" s="5"/>
      <c r="Y109" s="273"/>
    </row>
    <row r="110" spans="1:25" ht="15.75" thickBot="1">
      <c r="A110" s="8">
        <f t="shared" si="5"/>
        <v>99</v>
      </c>
      <c r="B110" s="5"/>
      <c r="C110" s="5" t="s">
        <v>334</v>
      </c>
      <c r="D110" s="247">
        <f t="shared" ref="D110:O110" si="7">SUM(D14:D109)</f>
        <v>-3147930.4790647295</v>
      </c>
      <c r="E110" s="247">
        <f t="shared" si="7"/>
        <v>-1955732.3820341004</v>
      </c>
      <c r="F110" s="247">
        <f t="shared" si="7"/>
        <v>-1207841.3608892674</v>
      </c>
      <c r="G110" s="247">
        <f t="shared" si="7"/>
        <v>-901938.97170420387</v>
      </c>
      <c r="H110" s="247">
        <f t="shared" si="7"/>
        <v>-1381489.8697896695</v>
      </c>
      <c r="I110" s="247">
        <f t="shared" si="7"/>
        <v>-1324711.7318559892</v>
      </c>
      <c r="J110" s="247">
        <f t="shared" si="7"/>
        <v>-1780154.7054753089</v>
      </c>
      <c r="K110" s="247">
        <f t="shared" si="7"/>
        <v>-3156297.8382668225</v>
      </c>
      <c r="L110" s="247">
        <f t="shared" si="7"/>
        <v>-5079758.9586442187</v>
      </c>
      <c r="M110" s="247">
        <f t="shared" si="7"/>
        <v>-5774585.8022429552</v>
      </c>
      <c r="N110" s="247">
        <f t="shared" si="7"/>
        <v>-6029070.0461666267</v>
      </c>
      <c r="O110" s="247">
        <f t="shared" si="7"/>
        <v>-4588455.3793099644</v>
      </c>
      <c r="P110" s="247">
        <f>SUM(P12:P109)</f>
        <v>-25526281.371017937</v>
      </c>
      <c r="Q110" s="257"/>
      <c r="R110" s="5"/>
      <c r="S110" s="5"/>
      <c r="Y110" s="273"/>
    </row>
    <row r="111" spans="1:25" ht="15.75" thickTop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25">
      <c r="A112" s="5"/>
      <c r="B112" s="5"/>
      <c r="C112" s="5" t="s">
        <v>335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5"/>
      <c r="B113" s="5"/>
      <c r="C113" s="5" t="s">
        <v>336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13"/>
      <c r="Q114" s="5"/>
      <c r="R114" s="5"/>
      <c r="S114" s="5"/>
    </row>
    <row r="115" spans="1:19">
      <c r="A115" s="5"/>
      <c r="B115" s="5"/>
      <c r="C115" s="5"/>
      <c r="P115" s="213"/>
      <c r="Q115" s="5"/>
      <c r="R115" s="5"/>
      <c r="S115" s="5"/>
    </row>
    <row r="116" spans="1:1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5"/>
      <c r="B117" s="5"/>
      <c r="C117" s="5"/>
      <c r="D117" s="255"/>
      <c r="E117" s="255"/>
      <c r="F117" s="25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>
      <c r="A119" s="5"/>
      <c r="B119" s="5"/>
      <c r="C119" s="5"/>
      <c r="Q119" s="5"/>
      <c r="R119" s="5"/>
      <c r="S119" s="5"/>
    </row>
    <row r="120" spans="1:19">
      <c r="A120" s="5"/>
      <c r="B120" s="5"/>
      <c r="C120" s="5"/>
      <c r="P120" s="5"/>
      <c r="Q120" s="5"/>
      <c r="R120" s="5"/>
      <c r="S120" s="5"/>
    </row>
    <row r="121" spans="1:1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3"/>
      <c r="R121" s="5"/>
      <c r="S121" s="5"/>
    </row>
    <row r="122" spans="1:1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95"/>
      <c r="P122" s="5"/>
      <c r="Q122" s="213"/>
      <c r="R122" s="5"/>
      <c r="S122" s="5"/>
    </row>
    <row r="123" spans="1:1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95"/>
      <c r="P123" s="39"/>
      <c r="Q123" s="5"/>
      <c r="R123" s="5"/>
      <c r="S123" s="5"/>
    </row>
    <row r="124" spans="1:1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P125" s="196"/>
    </row>
    <row r="126" spans="1:19">
      <c r="P126" s="274"/>
    </row>
    <row r="127" spans="1:19">
      <c r="C127" s="275"/>
    </row>
    <row r="128" spans="1:19">
      <c r="P128" s="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5" footer="0.25"/>
  <pageSetup scale="49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zoomScale="70" zoomScaleNormal="75" zoomScaleSheetLayoutView="70" workbookViewId="0">
      <pane xSplit="3" ySplit="11" topLeftCell="D12" activePane="bottomRight" state="frozen"/>
      <selection activeCell="E14" sqref="E14"/>
      <selection pane="topRight" activeCell="E14" sqref="E14"/>
      <selection pane="bottomLeft" activeCell="E14" sqref="E14"/>
      <selection pane="bottomRight" sqref="A1:P1"/>
    </sheetView>
  </sheetViews>
  <sheetFormatPr defaultColWidth="7.109375" defaultRowHeight="15"/>
  <cols>
    <col min="1" max="1" width="4.6640625" style="9" customWidth="1"/>
    <col min="2" max="2" width="6.6640625" style="9" customWidth="1"/>
    <col min="3" max="3" width="38.88671875" style="9" customWidth="1"/>
    <col min="4" max="4" width="12.5546875" style="9" bestFit="1" customWidth="1"/>
    <col min="5" max="5" width="11.88671875" style="9" bestFit="1" customWidth="1"/>
    <col min="6" max="6" width="11.109375" style="9" customWidth="1"/>
    <col min="7" max="8" width="11.88671875" style="9" bestFit="1" customWidth="1"/>
    <col min="9" max="9" width="11.109375" style="9" customWidth="1"/>
    <col min="10" max="10" width="13.109375" style="9" bestFit="1" customWidth="1"/>
    <col min="11" max="14" width="11.77734375" style="9" bestFit="1" customWidth="1"/>
    <col min="15" max="15" width="12.44140625" style="9" customWidth="1"/>
    <col min="16" max="16" width="12.44140625" style="9" bestFit="1" customWidth="1"/>
    <col min="17" max="17" width="9.6640625" style="9" customWidth="1"/>
    <col min="18" max="18" width="12.5546875" style="9" customWidth="1"/>
    <col min="19" max="16384" width="7.109375" style="9"/>
  </cols>
  <sheetData>
    <row r="1" spans="1:18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</row>
    <row r="2" spans="1:18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</row>
    <row r="3" spans="1:18" ht="15.75">
      <c r="A3" s="308" t="s">
        <v>339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</row>
    <row r="4" spans="1:18">
      <c r="A4" s="308" t="s">
        <v>387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</row>
    <row r="5" spans="1:18">
      <c r="A5" s="5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5"/>
      <c r="Q5" s="5"/>
    </row>
    <row r="6" spans="1:18" ht="15.75">
      <c r="A6" s="194" t="str">
        <f>'C.2.1 F'!A6</f>
        <v>Data:________Base Period___X____Forecasted Period</v>
      </c>
      <c r="B6" s="5"/>
      <c r="C6" s="194"/>
      <c r="D6" s="5"/>
      <c r="E6" s="5"/>
      <c r="F6" s="276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</row>
    <row r="7" spans="1:18">
      <c r="A7" s="194" t="str">
        <f>'C.2.1 F'!A7</f>
        <v>Type of Filing:___X____Original________Updated ________Revised</v>
      </c>
      <c r="B7" s="5"/>
      <c r="C7" s="19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</row>
    <row r="8" spans="1:18">
      <c r="A8" s="198" t="str">
        <f>'C.2.1 F'!A8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199"/>
      <c r="N8" s="199"/>
      <c r="O8" s="199"/>
      <c r="P8" s="201" t="str">
        <f>C.1!J9</f>
        <v>Witness: Waller, Martin</v>
      </c>
      <c r="Q8" s="5"/>
    </row>
    <row r="9" spans="1:18">
      <c r="A9" s="277" t="s">
        <v>21</v>
      </c>
      <c r="B9" s="278" t="s">
        <v>237</v>
      </c>
      <c r="C9" s="279"/>
      <c r="D9" s="269" t="s">
        <v>20</v>
      </c>
      <c r="E9" s="206" t="s">
        <v>20</v>
      </c>
      <c r="F9" s="206" t="s">
        <v>20</v>
      </c>
      <c r="G9" s="206" t="s">
        <v>20</v>
      </c>
      <c r="H9" s="206" t="s">
        <v>20</v>
      </c>
      <c r="I9" s="206" t="s">
        <v>20</v>
      </c>
      <c r="J9" s="206" t="s">
        <v>20</v>
      </c>
      <c r="K9" s="206" t="s">
        <v>20</v>
      </c>
      <c r="L9" s="206" t="s">
        <v>20</v>
      </c>
      <c r="M9" s="206" t="s">
        <v>20</v>
      </c>
      <c r="N9" s="206" t="s">
        <v>20</v>
      </c>
      <c r="O9" s="206" t="s">
        <v>20</v>
      </c>
      <c r="P9" s="243"/>
      <c r="Q9" s="5"/>
    </row>
    <row r="10" spans="1:18">
      <c r="A10" s="280" t="s">
        <v>24</v>
      </c>
      <c r="B10" s="199" t="s">
        <v>24</v>
      </c>
      <c r="C10" s="281" t="s">
        <v>240</v>
      </c>
      <c r="D10" s="209">
        <f>'C.2.2-F 09'!D10</f>
        <v>43191</v>
      </c>
      <c r="E10" s="209">
        <f>'C.2.2-F 09'!F10</f>
        <v>43252</v>
      </c>
      <c r="F10" s="209">
        <f>'C.2.2-F 09'!F10</f>
        <v>43252</v>
      </c>
      <c r="G10" s="209">
        <f>'C.2.2-F 09'!G10</f>
        <v>43282</v>
      </c>
      <c r="H10" s="209">
        <f>'C.2.2-F 09'!H10</f>
        <v>43313</v>
      </c>
      <c r="I10" s="209">
        <f>'C.2.2-F 09'!I10</f>
        <v>43344</v>
      </c>
      <c r="J10" s="209">
        <f>'C.2.2-F 09'!J10</f>
        <v>43374</v>
      </c>
      <c r="K10" s="209">
        <f>'C.2.2-F 09'!K10</f>
        <v>43405</v>
      </c>
      <c r="L10" s="209">
        <f>'C.2.2-F 09'!L10</f>
        <v>43435</v>
      </c>
      <c r="M10" s="209">
        <f>'C.2.2-F 09'!M10</f>
        <v>43466</v>
      </c>
      <c r="N10" s="209">
        <f>'C.2.2-F 09'!N10</f>
        <v>43497</v>
      </c>
      <c r="O10" s="209">
        <f>'C.2.2-F 09'!O10</f>
        <v>43525</v>
      </c>
      <c r="P10" s="244" t="str">
        <f>'C.2.2 B 09'!P10</f>
        <v>Total</v>
      </c>
      <c r="Q10" s="5"/>
    </row>
    <row r="11" spans="1:18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5"/>
    </row>
    <row r="12" spans="1:18">
      <c r="A12" s="8">
        <v>1</v>
      </c>
      <c r="B12" s="212">
        <v>4030</v>
      </c>
      <c r="C12" s="5" t="s">
        <v>70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5">
        <f t="shared" ref="P12:P35" si="0">SUM(D12:O12)</f>
        <v>0</v>
      </c>
      <c r="Q12" s="5"/>
    </row>
    <row r="13" spans="1:18">
      <c r="A13" s="8">
        <f>A12+1</f>
        <v>2</v>
      </c>
      <c r="B13" s="212">
        <v>4081</v>
      </c>
      <c r="C13" s="5" t="s">
        <v>246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5">
        <f t="shared" si="0"/>
        <v>0</v>
      </c>
      <c r="Q13" s="5"/>
    </row>
    <row r="14" spans="1:18">
      <c r="A14" s="8">
        <f>A13+1</f>
        <v>3</v>
      </c>
      <c r="B14" s="212">
        <v>8210</v>
      </c>
      <c r="C14" s="213" t="s">
        <v>279</v>
      </c>
      <c r="D14" s="215">
        <v>417.46373235735962</v>
      </c>
      <c r="E14" s="215">
        <v>436.57968857395281</v>
      </c>
      <c r="F14" s="215">
        <v>470.88487777219672</v>
      </c>
      <c r="G14" s="215">
        <v>448.43989123283143</v>
      </c>
      <c r="H14" s="215">
        <v>416.30580876683024</v>
      </c>
      <c r="I14" s="215">
        <v>517.84719351221304</v>
      </c>
      <c r="J14" s="215">
        <v>470.91723151957916</v>
      </c>
      <c r="K14" s="215">
        <v>414.64895633508735</v>
      </c>
      <c r="L14" s="215">
        <v>452.31893526110503</v>
      </c>
      <c r="M14" s="215">
        <v>409.06367783959246</v>
      </c>
      <c r="N14" s="215">
        <v>415.07466353748788</v>
      </c>
      <c r="O14" s="215">
        <v>464.99309009097345</v>
      </c>
      <c r="P14" s="5">
        <f t="shared" si="0"/>
        <v>5334.5377467992093</v>
      </c>
      <c r="Q14" s="5"/>
    </row>
    <row r="15" spans="1:18">
      <c r="A15" s="8">
        <f t="shared" ref="A15:A19" si="1">A14+1</f>
        <v>4</v>
      </c>
      <c r="B15" s="212">
        <v>8560</v>
      </c>
      <c r="C15" s="5" t="s">
        <v>288</v>
      </c>
      <c r="D15" s="215">
        <v>0</v>
      </c>
      <c r="E15" s="215">
        <v>0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5">
        <f t="shared" si="0"/>
        <v>0</v>
      </c>
      <c r="Q15" s="5"/>
      <c r="R15" s="216"/>
    </row>
    <row r="16" spans="1:18">
      <c r="A16" s="8">
        <f t="shared" si="1"/>
        <v>5</v>
      </c>
      <c r="B16" s="212">
        <v>8700</v>
      </c>
      <c r="C16" s="5" t="s">
        <v>293</v>
      </c>
      <c r="D16" s="215">
        <v>508.90621179521736</v>
      </c>
      <c r="E16" s="215">
        <v>540.06035883715663</v>
      </c>
      <c r="F16" s="215">
        <v>513.81428516460392</v>
      </c>
      <c r="G16" s="215">
        <v>527.34126942515866</v>
      </c>
      <c r="H16" s="215">
        <v>508.29090289009031</v>
      </c>
      <c r="I16" s="215">
        <v>518.66000878530724</v>
      </c>
      <c r="J16" s="215">
        <v>515.94392051725686</v>
      </c>
      <c r="K16" s="215">
        <v>508.70830816446272</v>
      </c>
      <c r="L16" s="215">
        <v>509.26962536070243</v>
      </c>
      <c r="M16" s="215">
        <v>513.99497939214859</v>
      </c>
      <c r="N16" s="215">
        <v>503.04711720972074</v>
      </c>
      <c r="O16" s="215">
        <v>515.06840441550742</v>
      </c>
      <c r="P16" s="5">
        <f t="shared" si="0"/>
        <v>6183.1053919573333</v>
      </c>
      <c r="Q16" s="5"/>
      <c r="R16" s="216"/>
    </row>
    <row r="17" spans="1:18">
      <c r="A17" s="8">
        <f t="shared" si="1"/>
        <v>6</v>
      </c>
      <c r="B17" s="212">
        <v>8740</v>
      </c>
      <c r="C17" s="5" t="s">
        <v>297</v>
      </c>
      <c r="D17" s="215">
        <v>4744.4151891841402</v>
      </c>
      <c r="E17" s="215">
        <v>4744.2715873156612</v>
      </c>
      <c r="F17" s="215">
        <v>4744.2889501411091</v>
      </c>
      <c r="G17" s="215">
        <v>4744.3413690861498</v>
      </c>
      <c r="H17" s="215">
        <v>4744.1763462365998</v>
      </c>
      <c r="I17" s="215">
        <v>4748.2941069315812</v>
      </c>
      <c r="J17" s="215">
        <v>4744.3711112690626</v>
      </c>
      <c r="K17" s="215">
        <v>4744.1859430476197</v>
      </c>
      <c r="L17" s="215">
        <v>4744.2454274134461</v>
      </c>
      <c r="M17" s="215">
        <v>4744.3474497102125</v>
      </c>
      <c r="N17" s="215">
        <v>4744.1872583130416</v>
      </c>
      <c r="O17" s="215">
        <v>4744.3220564953781</v>
      </c>
      <c r="P17" s="5">
        <f t="shared" si="0"/>
        <v>56935.446795144002</v>
      </c>
      <c r="Q17" s="5"/>
    </row>
    <row r="18" spans="1:18">
      <c r="A18" s="8">
        <f t="shared" si="1"/>
        <v>7</v>
      </c>
      <c r="B18" s="212">
        <v>8780</v>
      </c>
      <c r="C18" s="5" t="s">
        <v>301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5">
        <f t="shared" si="0"/>
        <v>0</v>
      </c>
      <c r="Q18" s="5"/>
    </row>
    <row r="19" spans="1:18">
      <c r="A19" s="8">
        <f t="shared" si="1"/>
        <v>8</v>
      </c>
      <c r="B19" s="212">
        <v>8800</v>
      </c>
      <c r="C19" s="5" t="s">
        <v>303</v>
      </c>
      <c r="D19" s="215">
        <v>21.15653579553663</v>
      </c>
      <c r="E19" s="215">
        <v>18.166293736737067</v>
      </c>
      <c r="F19" s="215">
        <v>18.757342280266776</v>
      </c>
      <c r="G19" s="215">
        <v>19.051192112180289</v>
      </c>
      <c r="H19" s="215">
        <v>18.192361605583159</v>
      </c>
      <c r="I19" s="215">
        <v>20.680445539830188</v>
      </c>
      <c r="J19" s="215">
        <v>18.78563811721375</v>
      </c>
      <c r="K19" s="215">
        <v>18.85924639169987</v>
      </c>
      <c r="L19" s="215">
        <v>19.790766511887888</v>
      </c>
      <c r="M19" s="215">
        <v>19.359849275904793</v>
      </c>
      <c r="N19" s="215">
        <v>18.237161179599195</v>
      </c>
      <c r="O19" s="215">
        <v>18.816872362928592</v>
      </c>
      <c r="P19" s="5">
        <f t="shared" si="0"/>
        <v>229.85370490936819</v>
      </c>
      <c r="Q19" s="5"/>
    </row>
    <row r="20" spans="1:18">
      <c r="A20" s="8">
        <f>A19+1</f>
        <v>9</v>
      </c>
      <c r="B20" s="212">
        <v>8900</v>
      </c>
      <c r="C20" s="9" t="s">
        <v>309</v>
      </c>
      <c r="D20" s="215">
        <v>51.8900586577086</v>
      </c>
      <c r="E20" s="215">
        <v>51.774414776016194</v>
      </c>
      <c r="F20" s="215">
        <v>51.65760864425652</v>
      </c>
      <c r="G20" s="215">
        <v>51.889477532674967</v>
      </c>
      <c r="H20" s="215">
        <v>52.180621174523694</v>
      </c>
      <c r="I20" s="215">
        <v>51.566953139010209</v>
      </c>
      <c r="J20" s="215">
        <v>52.488036317314069</v>
      </c>
      <c r="K20" s="215">
        <v>52.053354792158686</v>
      </c>
      <c r="L20" s="215">
        <v>51.845893155152702</v>
      </c>
      <c r="M20" s="215">
        <v>52.44154631462365</v>
      </c>
      <c r="N20" s="215">
        <v>51.774414776016194</v>
      </c>
      <c r="O20" s="215">
        <v>51.658189769290153</v>
      </c>
      <c r="P20" s="5">
        <f t="shared" si="0"/>
        <v>623.22056904874569</v>
      </c>
      <c r="Q20" s="5"/>
    </row>
    <row r="21" spans="1:18">
      <c r="A21" s="8">
        <f t="shared" ref="A21:A40" si="2">A20+1</f>
        <v>10</v>
      </c>
      <c r="B21" s="212">
        <v>9010</v>
      </c>
      <c r="C21" s="5" t="s">
        <v>314</v>
      </c>
      <c r="D21" s="215">
        <v>1323.6362661933515</v>
      </c>
      <c r="E21" s="215">
        <v>1418.4566428797943</v>
      </c>
      <c r="F21" s="215">
        <v>1489.608387917503</v>
      </c>
      <c r="G21" s="215">
        <v>1434.9585764327373</v>
      </c>
      <c r="H21" s="215">
        <v>1314.1628608343522</v>
      </c>
      <c r="I21" s="215">
        <v>1628.5806517155875</v>
      </c>
      <c r="J21" s="215">
        <v>1489.0660069452254</v>
      </c>
      <c r="K21" s="215">
        <v>1319.3353415886788</v>
      </c>
      <c r="L21" s="215">
        <v>1434.3382072361674</v>
      </c>
      <c r="M21" s="215">
        <v>1302.2221565150094</v>
      </c>
      <c r="N21" s="215">
        <v>1319.7720001331138</v>
      </c>
      <c r="O21" s="215">
        <v>1474.2320374641797</v>
      </c>
      <c r="P21" s="5">
        <f t="shared" si="0"/>
        <v>16948.369135855701</v>
      </c>
      <c r="Q21" s="5"/>
    </row>
    <row r="22" spans="1:18">
      <c r="A22" s="8">
        <f t="shared" si="2"/>
        <v>11</v>
      </c>
      <c r="B22" s="212">
        <v>9030</v>
      </c>
      <c r="C22" s="5" t="s">
        <v>316</v>
      </c>
      <c r="D22" s="215">
        <v>25696.228821413784</v>
      </c>
      <c r="E22" s="215">
        <v>28212.10507232797</v>
      </c>
      <c r="F22" s="215">
        <v>25797.908135714308</v>
      </c>
      <c r="G22" s="215">
        <v>26904.603336032284</v>
      </c>
      <c r="H22" s="215">
        <v>28276.764910942598</v>
      </c>
      <c r="I22" s="215">
        <v>24783.296081379282</v>
      </c>
      <c r="J22" s="215">
        <v>27702.095076540092</v>
      </c>
      <c r="K22" s="215">
        <v>27575.990692556479</v>
      </c>
      <c r="L22" s="215">
        <v>26433.895411848811</v>
      </c>
      <c r="M22" s="215">
        <v>28701.170208768079</v>
      </c>
      <c r="N22" s="215">
        <v>25172.179378131699</v>
      </c>
      <c r="O22" s="215">
        <v>27743.910717740171</v>
      </c>
      <c r="P22" s="5">
        <f t="shared" si="0"/>
        <v>323000.14784339559</v>
      </c>
      <c r="Q22" s="5"/>
    </row>
    <row r="23" spans="1:18">
      <c r="A23" s="8">
        <f t="shared" si="2"/>
        <v>12</v>
      </c>
      <c r="B23" s="212">
        <v>9100</v>
      </c>
      <c r="C23" s="5" t="s">
        <v>319</v>
      </c>
      <c r="D23" s="215">
        <v>2401.0132324353349</v>
      </c>
      <c r="E23" s="215">
        <v>2069.1394378469809</v>
      </c>
      <c r="F23" s="215">
        <v>2138.3852163707752</v>
      </c>
      <c r="G23" s="215">
        <v>2169.0283212923969</v>
      </c>
      <c r="H23" s="215">
        <v>2070.1065908948967</v>
      </c>
      <c r="I23" s="215">
        <v>2357.4979386603754</v>
      </c>
      <c r="J23" s="215">
        <v>2141.5460724897412</v>
      </c>
      <c r="K23" s="215">
        <v>2144.370853633749</v>
      </c>
      <c r="L23" s="215">
        <v>2251.9348601014171</v>
      </c>
      <c r="M23" s="215">
        <v>2199.7021081306343</v>
      </c>
      <c r="N23" s="215">
        <v>2074.9882036871295</v>
      </c>
      <c r="O23" s="215">
        <v>2144.4642961507034</v>
      </c>
      <c r="P23" s="5">
        <f t="shared" si="0"/>
        <v>26162.177131694138</v>
      </c>
      <c r="Q23" s="5"/>
    </row>
    <row r="24" spans="1:18">
      <c r="A24" s="8">
        <f t="shared" si="2"/>
        <v>13</v>
      </c>
      <c r="B24" s="212">
        <v>9120</v>
      </c>
      <c r="C24" s="213" t="s">
        <v>350</v>
      </c>
      <c r="D24" s="215">
        <v>172.68807242914534</v>
      </c>
      <c r="E24" s="215">
        <v>193.26686370902161</v>
      </c>
      <c r="F24" s="215">
        <v>180.89527721054554</v>
      </c>
      <c r="G24" s="215">
        <v>172.6879965498365</v>
      </c>
      <c r="H24" s="215">
        <v>172.72601208356213</v>
      </c>
      <c r="I24" s="215">
        <v>203.02599192362919</v>
      </c>
      <c r="J24" s="215">
        <v>213.95393476260338</v>
      </c>
      <c r="K24" s="215">
        <v>172.70939451492757</v>
      </c>
      <c r="L24" s="215">
        <v>220.04825550504253</v>
      </c>
      <c r="M24" s="215">
        <v>211.47659746641662</v>
      </c>
      <c r="N24" s="215">
        <v>188.7362076313081</v>
      </c>
      <c r="O24" s="215">
        <v>207.2555339056421</v>
      </c>
      <c r="P24" s="5">
        <f t="shared" si="0"/>
        <v>2309.470137691681</v>
      </c>
      <c r="Q24" s="5"/>
    </row>
    <row r="25" spans="1:18">
      <c r="A25" s="8">
        <f t="shared" si="2"/>
        <v>14</v>
      </c>
      <c r="B25" s="212">
        <v>9200</v>
      </c>
      <c r="C25" s="5" t="s">
        <v>323</v>
      </c>
      <c r="D25" s="215">
        <v>-1510951.8448527134</v>
      </c>
      <c r="E25" s="215">
        <v>-2048872.4094489198</v>
      </c>
      <c r="F25" s="215">
        <v>-1401000.2014029068</v>
      </c>
      <c r="G25" s="215">
        <v>-1599328.7463470688</v>
      </c>
      <c r="H25" s="215">
        <v>-963122.90090656653</v>
      </c>
      <c r="I25" s="215">
        <v>-1370313.2275293521</v>
      </c>
      <c r="J25" s="215">
        <v>-1148299.2070958791</v>
      </c>
      <c r="K25" s="215">
        <v>-1180629.1912470041</v>
      </c>
      <c r="L25" s="215">
        <v>-1315705.1224379386</v>
      </c>
      <c r="M25" s="215">
        <v>-1215814.3147207061</v>
      </c>
      <c r="N25" s="215">
        <v>-1397856.5223813434</v>
      </c>
      <c r="O25" s="215">
        <v>-1911772.9041612968</v>
      </c>
      <c r="P25" s="5">
        <f t="shared" si="0"/>
        <v>-17063666.592531696</v>
      </c>
      <c r="Q25" s="5"/>
    </row>
    <row r="26" spans="1:18">
      <c r="A26" s="8">
        <f t="shared" si="2"/>
        <v>15</v>
      </c>
      <c r="B26" s="212">
        <v>9210</v>
      </c>
      <c r="C26" s="5" t="s">
        <v>324</v>
      </c>
      <c r="D26" s="215">
        <v>2668114.0041461242</v>
      </c>
      <c r="E26" s="215">
        <v>2624703.2944104914</v>
      </c>
      <c r="F26" s="215">
        <v>2585457.7481587417</v>
      </c>
      <c r="G26" s="215">
        <v>2639147.9396634516</v>
      </c>
      <c r="H26" s="215">
        <v>2596631.7574786907</v>
      </c>
      <c r="I26" s="215">
        <v>2789719.5015507694</v>
      </c>
      <c r="J26" s="215">
        <v>2947347.0606119558</v>
      </c>
      <c r="K26" s="215">
        <v>2478371.1901257671</v>
      </c>
      <c r="L26" s="215">
        <v>2661407.3268217808</v>
      </c>
      <c r="M26" s="215">
        <v>2572877.7591287256</v>
      </c>
      <c r="N26" s="215">
        <v>2472793.6948613296</v>
      </c>
      <c r="O26" s="215">
        <v>2635976.8364414549</v>
      </c>
      <c r="P26" s="5">
        <f t="shared" si="0"/>
        <v>31672548.113399282</v>
      </c>
      <c r="Q26" s="5"/>
    </row>
    <row r="27" spans="1:18">
      <c r="A27" s="8">
        <f t="shared" si="2"/>
        <v>16</v>
      </c>
      <c r="B27" s="212">
        <v>9220</v>
      </c>
      <c r="C27" s="5" t="s">
        <v>325</v>
      </c>
      <c r="D27" s="116">
        <f t="shared" ref="D27:O27" si="3">-(SUM(D12:D26,D28:D35))</f>
        <v>-8149412.0779545931</v>
      </c>
      <c r="E27" s="116">
        <f t="shared" si="3"/>
        <v>-11290391.094896812</v>
      </c>
      <c r="F27" s="116">
        <f t="shared" si="3"/>
        <v>-8345078.483152464</v>
      </c>
      <c r="G27" s="116">
        <f t="shared" si="3"/>
        <v>-9582779.1766251251</v>
      </c>
      <c r="H27" s="116">
        <f t="shared" si="3"/>
        <v>-7929889.0864029462</v>
      </c>
      <c r="I27" s="116">
        <f t="shared" si="3"/>
        <v>-7842749.0782723716</v>
      </c>
      <c r="J27" s="116">
        <f t="shared" si="3"/>
        <v>-8614674.3972411696</v>
      </c>
      <c r="K27" s="116">
        <f t="shared" si="3"/>
        <v>-8594391.0521940887</v>
      </c>
      <c r="L27" s="116">
        <f t="shared" si="3"/>
        <v>-8663954.3290609606</v>
      </c>
      <c r="M27" s="116">
        <f t="shared" si="3"/>
        <v>-8843933.6049652249</v>
      </c>
      <c r="N27" s="116">
        <f t="shared" si="3"/>
        <v>-8225187.8621448707</v>
      </c>
      <c r="O27" s="116">
        <f t="shared" si="3"/>
        <v>-10839628.965703387</v>
      </c>
      <c r="P27" s="5">
        <f t="shared" si="0"/>
        <v>-106922069.20861401</v>
      </c>
      <c r="Q27" s="5"/>
    </row>
    <row r="28" spans="1:18">
      <c r="A28" s="8">
        <f t="shared" si="2"/>
        <v>17</v>
      </c>
      <c r="B28" s="212">
        <v>9230</v>
      </c>
      <c r="C28" s="5" t="s">
        <v>326</v>
      </c>
      <c r="D28" s="215">
        <v>1011978.358727075</v>
      </c>
      <c r="E28" s="215">
        <v>870890.81186934386</v>
      </c>
      <c r="F28" s="215">
        <v>898792.34168862773</v>
      </c>
      <c r="G28" s="215">
        <v>913195.17386625218</v>
      </c>
      <c r="H28" s="215">
        <v>872293.79998339224</v>
      </c>
      <c r="I28" s="215">
        <v>991299.4412941332</v>
      </c>
      <c r="J28" s="215">
        <v>904989.26648231968</v>
      </c>
      <c r="K28" s="215">
        <v>902452.16740749427</v>
      </c>
      <c r="L28" s="215">
        <v>947969.71947690879</v>
      </c>
      <c r="M28" s="215">
        <v>927072.06836201495</v>
      </c>
      <c r="N28" s="215">
        <v>873525.90986351634</v>
      </c>
      <c r="O28" s="215">
        <v>901082.54023610323</v>
      </c>
      <c r="P28" s="5">
        <f t="shared" si="0"/>
        <v>11015541.59925718</v>
      </c>
      <c r="Q28" s="5"/>
    </row>
    <row r="29" spans="1:18">
      <c r="A29" s="8">
        <f t="shared" si="2"/>
        <v>18</v>
      </c>
      <c r="B29" s="212">
        <v>9240</v>
      </c>
      <c r="C29" s="5" t="s">
        <v>327</v>
      </c>
      <c r="D29" s="215">
        <v>21412.89676616382</v>
      </c>
      <c r="E29" s="215">
        <v>20958.717229047084</v>
      </c>
      <c r="F29" s="215">
        <v>21062.299903714676</v>
      </c>
      <c r="G29" s="215">
        <v>21269.158136648184</v>
      </c>
      <c r="H29" s="215">
        <v>21117.760476401767</v>
      </c>
      <c r="I29" s="215">
        <v>21241.418265050321</v>
      </c>
      <c r="J29" s="215">
        <v>22658.948268776498</v>
      </c>
      <c r="K29" s="215">
        <v>20756.558708245342</v>
      </c>
      <c r="L29" s="215">
        <v>21456.099886766111</v>
      </c>
      <c r="M29" s="215">
        <v>21070.048212049205</v>
      </c>
      <c r="N29" s="215">
        <v>20788.827818773883</v>
      </c>
      <c r="O29" s="215">
        <v>20853.019654988144</v>
      </c>
      <c r="P29" s="5">
        <f t="shared" si="0"/>
        <v>254645.75332662504</v>
      </c>
      <c r="Q29" s="5"/>
    </row>
    <row r="30" spans="1:18">
      <c r="A30" s="8">
        <f t="shared" si="2"/>
        <v>19</v>
      </c>
      <c r="B30" s="212">
        <v>9250</v>
      </c>
      <c r="C30" s="5" t="s">
        <v>328</v>
      </c>
      <c r="D30" s="215">
        <v>1744153.8208850448</v>
      </c>
      <c r="E30" s="215">
        <v>1745185.0711671284</v>
      </c>
      <c r="F30" s="215">
        <v>1744152.787552597</v>
      </c>
      <c r="G30" s="215">
        <v>1744669.7043513651</v>
      </c>
      <c r="H30" s="215">
        <v>1745185.0711671284</v>
      </c>
      <c r="I30" s="215">
        <v>1743636.8787508537</v>
      </c>
      <c r="J30" s="215">
        <v>1728868.7379848175</v>
      </c>
      <c r="K30" s="215">
        <v>1743578.9110492105</v>
      </c>
      <c r="L30" s="215">
        <v>1743062.6846219201</v>
      </c>
      <c r="M30" s="215">
        <v>1744059.0983710168</v>
      </c>
      <c r="N30" s="215">
        <v>1742591.6913638581</v>
      </c>
      <c r="O30" s="215">
        <v>1744182.849553619</v>
      </c>
      <c r="P30" s="5">
        <f t="shared" si="0"/>
        <v>20913327.306818556</v>
      </c>
      <c r="Q30" s="5"/>
      <c r="R30" s="216"/>
    </row>
    <row r="31" spans="1:18">
      <c r="A31" s="8">
        <f t="shared" si="2"/>
        <v>20</v>
      </c>
      <c r="B31" s="212">
        <v>9260</v>
      </c>
      <c r="C31" s="5" t="s">
        <v>329</v>
      </c>
      <c r="D31" s="215">
        <v>3340906.7499115812</v>
      </c>
      <c r="E31" s="215">
        <v>7254891.0700546764</v>
      </c>
      <c r="F31" s="215">
        <v>3400033.837087071</v>
      </c>
      <c r="G31" s="215">
        <v>5038132.3728565508</v>
      </c>
      <c r="H31" s="215">
        <v>2828315.8391657374</v>
      </c>
      <c r="I31" s="215">
        <v>2651093.0287964768</v>
      </c>
      <c r="J31" s="215">
        <v>3309324.5149138803</v>
      </c>
      <c r="K31" s="215">
        <v>3809076.2416086351</v>
      </c>
      <c r="L31" s="215">
        <v>3575065.2186541674</v>
      </c>
      <c r="M31" s="215">
        <v>3876193.8081836943</v>
      </c>
      <c r="N31" s="215">
        <v>3606055.5071672285</v>
      </c>
      <c r="O31" s="215">
        <v>3710378.4655436999</v>
      </c>
      <c r="P31" s="5">
        <f t="shared" si="0"/>
        <v>46399466.653943397</v>
      </c>
      <c r="Q31" s="5"/>
    </row>
    <row r="32" spans="1:18">
      <c r="A32" s="8">
        <f t="shared" si="2"/>
        <v>21</v>
      </c>
      <c r="B32" s="212">
        <v>9301</v>
      </c>
      <c r="C32" s="5" t="s">
        <v>340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5">
        <f t="shared" si="0"/>
        <v>0</v>
      </c>
      <c r="Q32" s="5"/>
    </row>
    <row r="33" spans="1:17">
      <c r="A33" s="8">
        <f t="shared" si="2"/>
        <v>22</v>
      </c>
      <c r="B33" s="212">
        <v>9302</v>
      </c>
      <c r="C33" s="5" t="s">
        <v>332</v>
      </c>
      <c r="D33" s="215">
        <v>319096.14360692439</v>
      </c>
      <c r="E33" s="215">
        <v>268389.20282109</v>
      </c>
      <c r="F33" s="215">
        <v>544004.01733116969</v>
      </c>
      <c r="G33" s="215">
        <v>271141.85482186795</v>
      </c>
      <c r="H33" s="215">
        <v>274702.21475933818</v>
      </c>
      <c r="I33" s="215">
        <v>462706.62925572234</v>
      </c>
      <c r="J33" s="215">
        <v>256849.68235021725</v>
      </c>
      <c r="K33" s="215">
        <v>236088.82688873549</v>
      </c>
      <c r="L33" s="215">
        <v>475499.21606570622</v>
      </c>
      <c r="M33" s="215">
        <v>362896.88558530266</v>
      </c>
      <c r="N33" s="215">
        <v>356861.98855914682</v>
      </c>
      <c r="O33" s="215">
        <v>3185191.5625060443</v>
      </c>
      <c r="P33" s="5">
        <f t="shared" si="0"/>
        <v>7013428.2245512651</v>
      </c>
      <c r="Q33" s="5"/>
    </row>
    <row r="34" spans="1:17">
      <c r="A34" s="8">
        <f t="shared" si="2"/>
        <v>23</v>
      </c>
      <c r="B34" s="212">
        <v>9310</v>
      </c>
      <c r="C34" s="5" t="s">
        <v>209</v>
      </c>
      <c r="D34" s="215">
        <v>485861.10153526528</v>
      </c>
      <c r="E34" s="215">
        <v>484564.40095544909</v>
      </c>
      <c r="F34" s="215">
        <v>484825.0526888899</v>
      </c>
      <c r="G34" s="215">
        <v>485004.95491631149</v>
      </c>
      <c r="H34" s="215">
        <v>484626.01813811035</v>
      </c>
      <c r="I34" s="215">
        <v>485628.05937894864</v>
      </c>
      <c r="J34" s="215">
        <v>516849.59033918037</v>
      </c>
      <c r="K34" s="215">
        <v>516228.91780010139</v>
      </c>
      <c r="L34" s="215">
        <v>485351.08633891132</v>
      </c>
      <c r="M34" s="215">
        <v>485061.3100018471</v>
      </c>
      <c r="N34" s="215">
        <v>484538.29619715386</v>
      </c>
      <c r="O34" s="215">
        <v>484780.49106873869</v>
      </c>
      <c r="P34" s="5">
        <f t="shared" si="0"/>
        <v>5883319.2793589076</v>
      </c>
      <c r="Q34" s="5"/>
    </row>
    <row r="35" spans="1:17">
      <c r="A35" s="8">
        <f t="shared" si="2"/>
        <v>24</v>
      </c>
      <c r="B35" s="212">
        <v>9320</v>
      </c>
      <c r="C35" s="5" t="s">
        <v>333</v>
      </c>
      <c r="D35" s="215">
        <v>33503.449108866414</v>
      </c>
      <c r="E35" s="215">
        <v>31997.115478500029</v>
      </c>
      <c r="F35" s="215">
        <v>32344.400063343295</v>
      </c>
      <c r="G35" s="215">
        <v>33074.422930050569</v>
      </c>
      <c r="H35" s="215">
        <v>32566.61972528421</v>
      </c>
      <c r="I35" s="215">
        <v>32907.899138181725</v>
      </c>
      <c r="J35" s="215">
        <v>38736.636357422547</v>
      </c>
      <c r="K35" s="215">
        <v>31516.567761880207</v>
      </c>
      <c r="L35" s="215">
        <v>33730.41225034363</v>
      </c>
      <c r="M35" s="215">
        <v>32363.163267866981</v>
      </c>
      <c r="N35" s="215">
        <v>31400.472290608275</v>
      </c>
      <c r="O35" s="215">
        <v>31591.383661638134</v>
      </c>
      <c r="P35" s="5">
        <f t="shared" si="0"/>
        <v>395732.54203398607</v>
      </c>
      <c r="Q35" s="5"/>
    </row>
    <row r="36" spans="1:17" ht="15.75" thickBot="1">
      <c r="A36" s="8">
        <f t="shared" si="2"/>
        <v>25</v>
      </c>
      <c r="B36" s="5" t="s">
        <v>334</v>
      </c>
      <c r="C36" s="5"/>
      <c r="D36" s="247">
        <f t="shared" ref="D36:P36" si="4">SUM(D12:D35)</f>
        <v>-6.7666405811905861E-10</v>
      </c>
      <c r="E36" s="247">
        <f t="shared" si="4"/>
        <v>-2.2082531359046698E-9</v>
      </c>
      <c r="F36" s="247">
        <f t="shared" si="4"/>
        <v>-5.0931703299283981E-11</v>
      </c>
      <c r="G36" s="247">
        <f t="shared" si="4"/>
        <v>6.2573235481977463E-10</v>
      </c>
      <c r="H36" s="247">
        <f t="shared" si="4"/>
        <v>-2.4738255888223648E-10</v>
      </c>
      <c r="I36" s="247">
        <f t="shared" si="4"/>
        <v>-9.6770236268639565E-10</v>
      </c>
      <c r="J36" s="247">
        <f t="shared" si="4"/>
        <v>-1.964508555829525E-10</v>
      </c>
      <c r="K36" s="247">
        <f t="shared" si="4"/>
        <v>3.8562575355172157E-10</v>
      </c>
      <c r="L36" s="247">
        <f t="shared" si="4"/>
        <v>-1.8262653611600399E-9</v>
      </c>
      <c r="M36" s="247">
        <f t="shared" si="4"/>
        <v>2.1464074961841106E-10</v>
      </c>
      <c r="N36" s="247">
        <f t="shared" si="4"/>
        <v>8.149072527885437E-10</v>
      </c>
      <c r="O36" s="247">
        <f t="shared" si="4"/>
        <v>-3.8962753023952246E-9</v>
      </c>
      <c r="P36" s="247">
        <f t="shared" si="4"/>
        <v>-2.9103830456733704E-9</v>
      </c>
      <c r="Q36" s="5"/>
    </row>
    <row r="37" spans="1:17" ht="15.75" thickTop="1">
      <c r="A37" s="8">
        <f t="shared" si="2"/>
        <v>26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8">
        <f t="shared" si="2"/>
        <v>27</v>
      </c>
      <c r="B38" s="212">
        <f t="shared" ref="B38:O38" si="5">B27</f>
        <v>9220</v>
      </c>
      <c r="C38" s="5" t="str">
        <f t="shared" si="5"/>
        <v>A&amp;G-Administrative expense transferred-Credit</v>
      </c>
      <c r="D38" s="5">
        <f t="shared" si="5"/>
        <v>-8149412.0779545931</v>
      </c>
      <c r="E38" s="5">
        <f t="shared" si="5"/>
        <v>-11290391.094896812</v>
      </c>
      <c r="F38" s="5">
        <f t="shared" si="5"/>
        <v>-8345078.483152464</v>
      </c>
      <c r="G38" s="5">
        <f t="shared" si="5"/>
        <v>-9582779.1766251251</v>
      </c>
      <c r="H38" s="5">
        <f t="shared" si="5"/>
        <v>-7929889.0864029462</v>
      </c>
      <c r="I38" s="5">
        <f t="shared" si="5"/>
        <v>-7842749.0782723716</v>
      </c>
      <c r="J38" s="5">
        <f t="shared" si="5"/>
        <v>-8614674.3972411696</v>
      </c>
      <c r="K38" s="5">
        <f t="shared" si="5"/>
        <v>-8594391.0521940887</v>
      </c>
      <c r="L38" s="5">
        <f t="shared" si="5"/>
        <v>-8663954.3290609606</v>
      </c>
      <c r="M38" s="5">
        <f t="shared" si="5"/>
        <v>-8843933.6049652249</v>
      </c>
      <c r="N38" s="5">
        <f t="shared" si="5"/>
        <v>-8225187.8621448707</v>
      </c>
      <c r="O38" s="5">
        <f t="shared" si="5"/>
        <v>-10839628.965703387</v>
      </c>
      <c r="P38" s="5"/>
      <c r="Q38" s="5"/>
    </row>
    <row r="39" spans="1:17">
      <c r="A39" s="8">
        <f t="shared" si="2"/>
        <v>28</v>
      </c>
      <c r="B39" s="5"/>
      <c r="C39" s="5" t="s">
        <v>341</v>
      </c>
      <c r="D39" s="250">
        <v>5.2010158342223917E-2</v>
      </c>
      <c r="E39" s="250">
        <f>D39</f>
        <v>5.2010158342223917E-2</v>
      </c>
      <c r="F39" s="250">
        <f t="shared" ref="F39:O39" si="6">E39</f>
        <v>5.2010158342223917E-2</v>
      </c>
      <c r="G39" s="250">
        <f t="shared" si="6"/>
        <v>5.2010158342223917E-2</v>
      </c>
      <c r="H39" s="250">
        <f t="shared" si="6"/>
        <v>5.2010158342223917E-2</v>
      </c>
      <c r="I39" s="250">
        <f t="shared" si="6"/>
        <v>5.2010158342223917E-2</v>
      </c>
      <c r="J39" s="250">
        <f t="shared" si="6"/>
        <v>5.2010158342223917E-2</v>
      </c>
      <c r="K39" s="250">
        <f t="shared" si="6"/>
        <v>5.2010158342223917E-2</v>
      </c>
      <c r="L39" s="250">
        <f t="shared" si="6"/>
        <v>5.2010158342223917E-2</v>
      </c>
      <c r="M39" s="250">
        <f t="shared" si="6"/>
        <v>5.2010158342223917E-2</v>
      </c>
      <c r="N39" s="250">
        <f t="shared" si="6"/>
        <v>5.2010158342223917E-2</v>
      </c>
      <c r="O39" s="250">
        <f t="shared" si="6"/>
        <v>5.2010158342223917E-2</v>
      </c>
      <c r="P39" s="190"/>
      <c r="Q39" s="5"/>
    </row>
    <row r="40" spans="1:17">
      <c r="A40" s="8">
        <f t="shared" si="2"/>
        <v>29</v>
      </c>
      <c r="B40" s="5"/>
      <c r="C40" s="5" t="s">
        <v>342</v>
      </c>
      <c r="D40" s="5">
        <f t="shared" ref="D40:N40" si="7">ROUND(D38*D39,3)</f>
        <v>-423852.21299999999</v>
      </c>
      <c r="E40" s="5">
        <f t="shared" si="7"/>
        <v>-587215.02899999998</v>
      </c>
      <c r="F40" s="5">
        <f t="shared" si="7"/>
        <v>-434028.853</v>
      </c>
      <c r="G40" s="5">
        <f t="shared" si="7"/>
        <v>-498401.86200000002</v>
      </c>
      <c r="H40" s="5">
        <f t="shared" si="7"/>
        <v>-412434.78700000001</v>
      </c>
      <c r="I40" s="5">
        <f t="shared" si="7"/>
        <v>-407902.62099999998</v>
      </c>
      <c r="J40" s="5">
        <f t="shared" si="7"/>
        <v>-448050.57900000003</v>
      </c>
      <c r="K40" s="5">
        <f t="shared" si="7"/>
        <v>-446995.63900000002</v>
      </c>
      <c r="L40" s="5">
        <f t="shared" si="7"/>
        <v>-450613.63699999999</v>
      </c>
      <c r="M40" s="5">
        <f t="shared" si="7"/>
        <v>-459974.38699999999</v>
      </c>
      <c r="N40" s="5">
        <f t="shared" si="7"/>
        <v>-427793.32299999997</v>
      </c>
      <c r="O40" s="5">
        <f>ROUND(O38*O39,3)</f>
        <v>-563770.81900000002</v>
      </c>
      <c r="P40" s="5">
        <f>SUM(D40:O40)</f>
        <v>-5561033.7489999998</v>
      </c>
      <c r="Q40" s="282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 t="s">
        <v>343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260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19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90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90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90"/>
      <c r="Q47" s="5"/>
    </row>
    <row r="48" spans="1:17">
      <c r="A48" s="5"/>
      <c r="B48" s="5"/>
      <c r="C48" s="5"/>
      <c r="D48" s="39"/>
      <c r="E48" s="39"/>
      <c r="F48" s="39"/>
      <c r="G48" s="39"/>
      <c r="H48" s="39"/>
      <c r="I48" s="39"/>
      <c r="J48" s="39"/>
      <c r="K48" s="255"/>
      <c r="L48" s="255"/>
      <c r="M48" s="255"/>
      <c r="N48" s="255"/>
      <c r="O48" s="255"/>
      <c r="P48" s="255"/>
      <c r="Q48" s="5"/>
    </row>
    <row r="49" spans="1:17">
      <c r="A49" s="5"/>
      <c r="B49" s="5"/>
      <c r="C49" s="5"/>
      <c r="D49" s="255"/>
      <c r="E49" s="255"/>
      <c r="F49" s="255"/>
      <c r="G49" s="255"/>
      <c r="H49" s="255"/>
      <c r="I49" s="255"/>
      <c r="J49" s="255"/>
      <c r="K49" s="5"/>
      <c r="L49" s="5"/>
      <c r="M49" s="5"/>
      <c r="N49" s="5"/>
      <c r="O49" s="255"/>
      <c r="P49" s="25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55"/>
      <c r="P50" s="25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55"/>
      <c r="P51" s="25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55"/>
      <c r="P52" s="255"/>
      <c r="Q52" s="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49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E14" sqref="E14"/>
      <selection pane="topRight" activeCell="E14" sqref="E14"/>
      <selection pane="bottomLeft" activeCell="E14" sqref="E14"/>
      <selection pane="bottomRight" sqref="A1:P1"/>
    </sheetView>
  </sheetViews>
  <sheetFormatPr defaultColWidth="7.109375" defaultRowHeight="15"/>
  <cols>
    <col min="1" max="1" width="4.6640625" style="9" customWidth="1"/>
    <col min="2" max="2" width="7.21875" style="9" customWidth="1"/>
    <col min="3" max="3" width="43.21875" style="9" customWidth="1"/>
    <col min="4" max="4" width="12.44140625" style="9" bestFit="1" customWidth="1"/>
    <col min="5" max="6" width="11.109375" style="9" customWidth="1"/>
    <col min="7" max="7" width="11.77734375" style="9" bestFit="1" customWidth="1"/>
    <col min="8" max="8" width="11.33203125" style="9" bestFit="1" customWidth="1"/>
    <col min="9" max="9" width="11.109375" style="9" customWidth="1"/>
    <col min="10" max="10" width="10.88671875" style="9" customWidth="1"/>
    <col min="11" max="14" width="11.33203125" style="9" bestFit="1" customWidth="1"/>
    <col min="15" max="15" width="12.44140625" style="9" customWidth="1"/>
    <col min="16" max="16" width="12.44140625" style="9" bestFit="1" customWidth="1"/>
    <col min="17" max="17" width="12.44140625" style="9" customWidth="1"/>
    <col min="18" max="18" width="12.5546875" style="9" customWidth="1"/>
    <col min="19" max="19" width="11.33203125" style="9" bestFit="1" customWidth="1"/>
    <col min="20" max="16384" width="7.109375" style="9"/>
  </cols>
  <sheetData>
    <row r="1" spans="1:17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</row>
    <row r="2" spans="1:17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</row>
    <row r="3" spans="1:17" ht="15.75">
      <c r="A3" s="308" t="s">
        <v>344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</row>
    <row r="4" spans="1:17">
      <c r="A4" s="308" t="s">
        <v>387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</row>
    <row r="5" spans="1:17">
      <c r="A5" s="5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5"/>
      <c r="Q5" s="5"/>
    </row>
    <row r="6" spans="1:17" ht="15.75">
      <c r="A6" s="194" t="str">
        <f>'C.2.1 F'!A6</f>
        <v>Data:________Base Period___X____Forecasted Period</v>
      </c>
      <c r="B6" s="5"/>
      <c r="C6" s="194"/>
      <c r="D6" s="5"/>
      <c r="E6" s="276"/>
      <c r="F6" s="5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</row>
    <row r="7" spans="1:17">
      <c r="A7" s="194" t="str">
        <f>'C.2.1 F'!A7</f>
        <v>Type of Filing:___X____Original________Updated ________Revised</v>
      </c>
      <c r="B7" s="5"/>
      <c r="C7" s="19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</row>
    <row r="8" spans="1:17">
      <c r="A8" s="198" t="str">
        <f>'C.2.1 F'!A8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199"/>
      <c r="N8" s="199"/>
      <c r="O8" s="199"/>
      <c r="P8" s="201" t="str">
        <f>C.1!J9</f>
        <v>Witness: Waller, Martin</v>
      </c>
      <c r="Q8" s="5"/>
    </row>
    <row r="9" spans="1:17">
      <c r="A9" s="277" t="s">
        <v>21</v>
      </c>
      <c r="B9" s="278" t="s">
        <v>237</v>
      </c>
      <c r="C9" s="279"/>
      <c r="D9" s="269" t="s">
        <v>20</v>
      </c>
      <c r="E9" s="206" t="s">
        <v>20</v>
      </c>
      <c r="F9" s="206" t="s">
        <v>20</v>
      </c>
      <c r="G9" s="206" t="s">
        <v>20</v>
      </c>
      <c r="H9" s="206" t="s">
        <v>20</v>
      </c>
      <c r="I9" s="206" t="s">
        <v>20</v>
      </c>
      <c r="J9" s="206" t="s">
        <v>20</v>
      </c>
      <c r="K9" s="206" t="s">
        <v>20</v>
      </c>
      <c r="L9" s="206" t="s">
        <v>20</v>
      </c>
      <c r="M9" s="206" t="s">
        <v>20</v>
      </c>
      <c r="N9" s="206" t="s">
        <v>20</v>
      </c>
      <c r="O9" s="206" t="s">
        <v>20</v>
      </c>
      <c r="P9" s="243"/>
      <c r="Q9" s="5"/>
    </row>
    <row r="10" spans="1:17">
      <c r="A10" s="280" t="s">
        <v>24</v>
      </c>
      <c r="B10" s="199" t="s">
        <v>24</v>
      </c>
      <c r="C10" s="281" t="s">
        <v>240</v>
      </c>
      <c r="D10" s="209">
        <f>'C.2.2-F 09'!D10</f>
        <v>43191</v>
      </c>
      <c r="E10" s="209">
        <f>'C.2.2-F 09'!F10</f>
        <v>43252</v>
      </c>
      <c r="F10" s="209">
        <f>'C.2.2-F 09'!F10</f>
        <v>43252</v>
      </c>
      <c r="G10" s="209">
        <f>'C.2.2-F 09'!G10</f>
        <v>43282</v>
      </c>
      <c r="H10" s="209">
        <f>'C.2.2-F 09'!H10</f>
        <v>43313</v>
      </c>
      <c r="I10" s="209">
        <f>'C.2.2-F 09'!I10</f>
        <v>43344</v>
      </c>
      <c r="J10" s="209">
        <f>'C.2.2-F 09'!J10</f>
        <v>43374</v>
      </c>
      <c r="K10" s="209">
        <f>'C.2.2-F 09'!K10</f>
        <v>43405</v>
      </c>
      <c r="L10" s="209">
        <f>'C.2.2-F 09'!L10</f>
        <v>43435</v>
      </c>
      <c r="M10" s="209">
        <f>'C.2.2-F 09'!M10</f>
        <v>43466</v>
      </c>
      <c r="N10" s="209">
        <f>'C.2.2-F 09'!N10</f>
        <v>43497</v>
      </c>
      <c r="O10" s="209">
        <f>'C.2.2-F 09'!O10</f>
        <v>43525</v>
      </c>
      <c r="P10" s="244" t="str">
        <f>'C.2.2 B 09'!P10</f>
        <v>Total</v>
      </c>
      <c r="Q10" s="256"/>
    </row>
    <row r="11" spans="1:17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68"/>
    </row>
    <row r="12" spans="1:17">
      <c r="A12" s="8">
        <v>1</v>
      </c>
      <c r="B12" s="212">
        <v>4030</v>
      </c>
      <c r="C12" s="5" t="s">
        <v>70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5">
        <f t="shared" ref="P12:P28" si="0">SUM(D12:O12)</f>
        <v>0</v>
      </c>
      <c r="Q12" s="5"/>
    </row>
    <row r="13" spans="1:17">
      <c r="A13" s="8">
        <f>A12+1</f>
        <v>2</v>
      </c>
      <c r="B13" s="212">
        <v>4081</v>
      </c>
      <c r="C13" s="5" t="s">
        <v>246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5">
        <f t="shared" si="0"/>
        <v>0</v>
      </c>
      <c r="Q13" s="5"/>
    </row>
    <row r="14" spans="1:17">
      <c r="A14" s="8">
        <f t="shared" ref="A14:A34" si="1">A13+1</f>
        <v>3</v>
      </c>
      <c r="B14" s="212">
        <v>8700</v>
      </c>
      <c r="C14" s="5" t="s">
        <v>293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5">
        <f t="shared" si="0"/>
        <v>0</v>
      </c>
      <c r="Q14" s="5"/>
    </row>
    <row r="15" spans="1:17">
      <c r="A15" s="8">
        <f t="shared" si="1"/>
        <v>4</v>
      </c>
      <c r="B15" s="212">
        <v>8740</v>
      </c>
      <c r="C15" s="5" t="s">
        <v>297</v>
      </c>
      <c r="D15" s="116">
        <v>1699.7957741350851</v>
      </c>
      <c r="E15" s="116">
        <v>1699.7957741350851</v>
      </c>
      <c r="F15" s="116">
        <v>1699.7957741350851</v>
      </c>
      <c r="G15" s="116">
        <v>1699.7957741350851</v>
      </c>
      <c r="H15" s="116">
        <v>1699.7957741350851</v>
      </c>
      <c r="I15" s="116">
        <v>1699.7957741350851</v>
      </c>
      <c r="J15" s="116">
        <v>1699.7957741350851</v>
      </c>
      <c r="K15" s="116">
        <v>1699.7957741350851</v>
      </c>
      <c r="L15" s="116">
        <v>1699.7957741350851</v>
      </c>
      <c r="M15" s="116">
        <v>1699.7957741350851</v>
      </c>
      <c r="N15" s="116">
        <v>1699.7957741350851</v>
      </c>
      <c r="O15" s="116">
        <v>1699.7957741350851</v>
      </c>
      <c r="P15" s="5">
        <f t="shared" si="0"/>
        <v>20397.54928962102</v>
      </c>
      <c r="Q15" s="5"/>
    </row>
    <row r="16" spans="1:17">
      <c r="A16" s="8">
        <f t="shared" si="1"/>
        <v>5</v>
      </c>
      <c r="B16" s="212">
        <v>8800</v>
      </c>
      <c r="C16" s="5" t="s">
        <v>303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5">
        <f t="shared" si="0"/>
        <v>0</v>
      </c>
      <c r="Q16" s="5"/>
    </row>
    <row r="17" spans="1:17">
      <c r="A17" s="8">
        <f t="shared" si="1"/>
        <v>6</v>
      </c>
      <c r="B17" s="212">
        <v>9010</v>
      </c>
      <c r="C17" s="5" t="s">
        <v>314</v>
      </c>
      <c r="D17" s="116">
        <v>407599.36327151145</v>
      </c>
      <c r="E17" s="116">
        <v>436719.28370387777</v>
      </c>
      <c r="F17" s="116">
        <v>402897.05270495708</v>
      </c>
      <c r="G17" s="116">
        <v>418719.15317620337</v>
      </c>
      <c r="H17" s="116">
        <v>432868.3221602572</v>
      </c>
      <c r="I17" s="116">
        <v>380184.34138356434</v>
      </c>
      <c r="J17" s="116">
        <v>426374.65589182265</v>
      </c>
      <c r="K17" s="116">
        <v>421077.81170969491</v>
      </c>
      <c r="L17" s="116">
        <v>405044.69080865697</v>
      </c>
      <c r="M17" s="116">
        <v>452625.47371053754</v>
      </c>
      <c r="N17" s="116">
        <v>397417.33528187376</v>
      </c>
      <c r="O17" s="116">
        <v>432086.5376381324</v>
      </c>
      <c r="P17" s="5">
        <f t="shared" si="0"/>
        <v>5013614.0214410899</v>
      </c>
      <c r="Q17" s="5"/>
    </row>
    <row r="18" spans="1:17">
      <c r="A18" s="8">
        <f t="shared" si="1"/>
        <v>7</v>
      </c>
      <c r="B18" s="212">
        <v>9020</v>
      </c>
      <c r="C18" s="5" t="s">
        <v>315</v>
      </c>
      <c r="D18" s="116">
        <v>3133.9621198343475</v>
      </c>
      <c r="E18" s="116">
        <v>3417.4371457716729</v>
      </c>
      <c r="F18" s="116">
        <v>3127.79310076308</v>
      </c>
      <c r="G18" s="116">
        <v>3200.6432567223255</v>
      </c>
      <c r="H18" s="116">
        <v>3345.4652483815262</v>
      </c>
      <c r="I18" s="116">
        <v>2910.9992240517713</v>
      </c>
      <c r="J18" s="116">
        <v>3303.0166440674016</v>
      </c>
      <c r="K18" s="116">
        <v>3303.0166440674016</v>
      </c>
      <c r="L18" s="116">
        <v>3153.8499418257074</v>
      </c>
      <c r="M18" s="116">
        <v>3526.3143497882279</v>
      </c>
      <c r="N18" s="116">
        <v>3078.8143320204013</v>
      </c>
      <c r="O18" s="116">
        <v>3377.1476856710724</v>
      </c>
      <c r="P18" s="5">
        <f t="shared" si="0"/>
        <v>38878.459692964934</v>
      </c>
      <c r="Q18" s="5"/>
    </row>
    <row r="19" spans="1:17">
      <c r="A19" s="8">
        <f t="shared" si="1"/>
        <v>8</v>
      </c>
      <c r="B19" s="212">
        <v>9030</v>
      </c>
      <c r="C19" s="5" t="s">
        <v>316</v>
      </c>
      <c r="D19" s="116">
        <v>1810743.5387934013</v>
      </c>
      <c r="E19" s="116">
        <v>1916149.9811762383</v>
      </c>
      <c r="F19" s="116">
        <v>1756419.3714492139</v>
      </c>
      <c r="G19" s="116">
        <v>1848983.6486440636</v>
      </c>
      <c r="H19" s="116">
        <v>1878423.3582467132</v>
      </c>
      <c r="I19" s="116">
        <v>1638038.4648303357</v>
      </c>
      <c r="J19" s="116">
        <v>1903327.1774114186</v>
      </c>
      <c r="K19" s="116">
        <v>1851811.1719959832</v>
      </c>
      <c r="L19" s="116">
        <v>1770550.9292635352</v>
      </c>
      <c r="M19" s="116">
        <v>2026702.4010319656</v>
      </c>
      <c r="N19" s="116">
        <v>1729318.0757703185</v>
      </c>
      <c r="O19" s="116">
        <v>1893775.2897617989</v>
      </c>
      <c r="P19" s="5">
        <f t="shared" si="0"/>
        <v>22024243.408374988</v>
      </c>
      <c r="Q19" s="5"/>
    </row>
    <row r="20" spans="1:17">
      <c r="A20" s="8">
        <f t="shared" si="1"/>
        <v>9</v>
      </c>
      <c r="B20" s="212">
        <v>9200</v>
      </c>
      <c r="C20" s="5" t="s">
        <v>323</v>
      </c>
      <c r="D20" s="116">
        <v>422125.92733578169</v>
      </c>
      <c r="E20" s="116">
        <v>460308.31551558943</v>
      </c>
      <c r="F20" s="116">
        <v>421294.99741492211</v>
      </c>
      <c r="G20" s="116">
        <v>431107.47710197023</v>
      </c>
      <c r="H20" s="116">
        <v>450614.13199765427</v>
      </c>
      <c r="I20" s="116">
        <v>392094.16066316282</v>
      </c>
      <c r="J20" s="116">
        <v>444896.55923351471</v>
      </c>
      <c r="K20" s="116">
        <v>444896.55923351471</v>
      </c>
      <c r="L20" s="116">
        <v>424804.69784409774</v>
      </c>
      <c r="M20" s="116">
        <v>474973.42279954249</v>
      </c>
      <c r="N20" s="116">
        <v>414697.85061330057</v>
      </c>
      <c r="O20" s="116">
        <v>454881.56654527225</v>
      </c>
      <c r="P20" s="5">
        <f t="shared" si="0"/>
        <v>5236695.6662983233</v>
      </c>
      <c r="Q20" s="5"/>
    </row>
    <row r="21" spans="1:17">
      <c r="A21" s="8">
        <f t="shared" si="1"/>
        <v>10</v>
      </c>
      <c r="B21" s="212">
        <v>9210</v>
      </c>
      <c r="C21" s="5" t="s">
        <v>324</v>
      </c>
      <c r="D21" s="116">
        <v>220901.63119032327</v>
      </c>
      <c r="E21" s="116">
        <v>217062.7867699824</v>
      </c>
      <c r="F21" s="116">
        <v>251609.24847679827</v>
      </c>
      <c r="G21" s="116">
        <v>214350.12512404061</v>
      </c>
      <c r="H21" s="116">
        <v>204019.953695089</v>
      </c>
      <c r="I21" s="116">
        <v>204958.40533856474</v>
      </c>
      <c r="J21" s="116">
        <v>206587.02536539073</v>
      </c>
      <c r="K21" s="116">
        <v>197708.2494321322</v>
      </c>
      <c r="L21" s="116">
        <v>202317.90444773136</v>
      </c>
      <c r="M21" s="116">
        <v>204424.76377439094</v>
      </c>
      <c r="N21" s="116">
        <v>204475.14723120874</v>
      </c>
      <c r="O21" s="116">
        <v>221037.62208828915</v>
      </c>
      <c r="P21" s="5">
        <f t="shared" si="0"/>
        <v>2549452.8629339417</v>
      </c>
      <c r="Q21" s="5"/>
    </row>
    <row r="22" spans="1:17">
      <c r="A22" s="8">
        <f t="shared" si="1"/>
        <v>11</v>
      </c>
      <c r="B22" s="212">
        <v>9220</v>
      </c>
      <c r="C22" s="5" t="s">
        <v>325</v>
      </c>
      <c r="D22" s="116">
        <f t="shared" ref="D22:O22" si="2">-(SUM(D12:D21)+SUM(D23:D28))</f>
        <v>-3907670.4829000006</v>
      </c>
      <c r="E22" s="116">
        <f t="shared" si="2"/>
        <v>-4194183.1487000012</v>
      </c>
      <c r="F22" s="116">
        <f t="shared" si="2"/>
        <v>-3893524.4295000006</v>
      </c>
      <c r="G22" s="116">
        <f t="shared" si="2"/>
        <v>-3977652.7277999995</v>
      </c>
      <c r="H22" s="116">
        <f t="shared" si="2"/>
        <v>-4067299.7337000002</v>
      </c>
      <c r="I22" s="116">
        <f t="shared" si="2"/>
        <v>-3611820.8709000009</v>
      </c>
      <c r="J22" s="116">
        <f t="shared" si="2"/>
        <v>-4091130.5630900292</v>
      </c>
      <c r="K22" s="116">
        <f t="shared" si="2"/>
        <v>-4036197.2706900295</v>
      </c>
      <c r="L22" s="116">
        <f t="shared" si="2"/>
        <v>-3884057.4690350574</v>
      </c>
      <c r="M22" s="116">
        <f t="shared" si="2"/>
        <v>-4330596.873187772</v>
      </c>
      <c r="N22" s="116">
        <f t="shared" si="2"/>
        <v>-3793887.1603926597</v>
      </c>
      <c r="O22" s="116">
        <f t="shared" si="2"/>
        <v>-4140888.3959770026</v>
      </c>
      <c r="P22" s="5">
        <f t="shared" si="0"/>
        <v>-47928909.12587256</v>
      </c>
      <c r="Q22" s="5"/>
    </row>
    <row r="23" spans="1:17">
      <c r="A23" s="8">
        <f t="shared" si="1"/>
        <v>12</v>
      </c>
      <c r="B23" s="212">
        <v>9230</v>
      </c>
      <c r="C23" s="5" t="s">
        <v>326</v>
      </c>
      <c r="D23" s="116">
        <v>43139.719496778634</v>
      </c>
      <c r="E23" s="116">
        <v>41899.389693792524</v>
      </c>
      <c r="F23" s="116">
        <v>60005.30402673957</v>
      </c>
      <c r="G23" s="116">
        <v>40016.182300879082</v>
      </c>
      <c r="H23" s="116">
        <v>38645.519461045449</v>
      </c>
      <c r="I23" s="116">
        <v>36784.469879648124</v>
      </c>
      <c r="J23" s="116">
        <v>36385.509937096562</v>
      </c>
      <c r="K23" s="116">
        <v>37067.551094822382</v>
      </c>
      <c r="L23" s="116">
        <v>36457.316934983966</v>
      </c>
      <c r="M23" s="116">
        <v>36245.12664665965</v>
      </c>
      <c r="N23" s="116">
        <v>38130.220133397088</v>
      </c>
      <c r="O23" s="116">
        <v>45641.956002777108</v>
      </c>
      <c r="P23" s="5">
        <f t="shared" si="0"/>
        <v>490418.26560862013</v>
      </c>
      <c r="Q23" s="5"/>
    </row>
    <row r="24" spans="1:17">
      <c r="A24" s="8">
        <f t="shared" si="1"/>
        <v>13</v>
      </c>
      <c r="B24" s="212">
        <v>9240</v>
      </c>
      <c r="C24" s="5" t="s">
        <v>327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5">
        <f t="shared" si="0"/>
        <v>0</v>
      </c>
      <c r="Q24" s="5"/>
    </row>
    <row r="25" spans="1:17">
      <c r="A25" s="8">
        <f t="shared" si="1"/>
        <v>14</v>
      </c>
      <c r="B25" s="212">
        <v>9250</v>
      </c>
      <c r="C25" s="9" t="s">
        <v>328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5">
        <f t="shared" si="0"/>
        <v>0</v>
      </c>
      <c r="Q25" s="5"/>
    </row>
    <row r="26" spans="1:17">
      <c r="A26" s="8">
        <f t="shared" si="1"/>
        <v>15</v>
      </c>
      <c r="B26" s="212">
        <v>9260</v>
      </c>
      <c r="C26" s="5" t="s">
        <v>329</v>
      </c>
      <c r="D26" s="116">
        <v>862548.56502850319</v>
      </c>
      <c r="E26" s="116">
        <v>982279.48827065399</v>
      </c>
      <c r="F26" s="116">
        <v>864429.09030794143</v>
      </c>
      <c r="G26" s="116">
        <v>884473.46656676452</v>
      </c>
      <c r="H26" s="116">
        <v>923036.5164667645</v>
      </c>
      <c r="I26" s="116">
        <v>820498.7102976141</v>
      </c>
      <c r="J26" s="116">
        <v>933443.17078285641</v>
      </c>
      <c r="K26" s="116">
        <v>943986.44415571936</v>
      </c>
      <c r="L26" s="116">
        <v>899027.9403356635</v>
      </c>
      <c r="M26" s="116">
        <v>994601.09808277304</v>
      </c>
      <c r="N26" s="116">
        <v>870423.25060644536</v>
      </c>
      <c r="O26" s="116">
        <v>953736.95697200217</v>
      </c>
      <c r="P26" s="5">
        <f t="shared" si="0"/>
        <v>10932484.697873704</v>
      </c>
      <c r="Q26" s="5"/>
    </row>
    <row r="27" spans="1:17">
      <c r="A27" s="8">
        <f t="shared" si="1"/>
        <v>16</v>
      </c>
      <c r="B27" s="212">
        <v>9310</v>
      </c>
      <c r="C27" s="5" t="s">
        <v>209</v>
      </c>
      <c r="D27" s="116">
        <v>135774.46521183368</v>
      </c>
      <c r="E27" s="116">
        <v>134643.15597206212</v>
      </c>
      <c r="F27" s="116">
        <v>132033.4087076679</v>
      </c>
      <c r="G27" s="116">
        <v>135098.72117732372</v>
      </c>
      <c r="H27" s="116">
        <v>134643.15597206212</v>
      </c>
      <c r="I27" s="116">
        <v>134643.15597206212</v>
      </c>
      <c r="J27" s="116">
        <v>135098.72117732372</v>
      </c>
      <c r="K27" s="116">
        <v>134643.15597206212</v>
      </c>
      <c r="L27" s="116">
        <v>140991.97614756582</v>
      </c>
      <c r="M27" s="116">
        <v>135794.96234008204</v>
      </c>
      <c r="N27" s="116">
        <v>134643.15597206212</v>
      </c>
      <c r="O27" s="116">
        <v>134643.15597206212</v>
      </c>
      <c r="P27" s="5">
        <f t="shared" si="0"/>
        <v>1622651.1905941695</v>
      </c>
      <c r="Q27" s="196"/>
    </row>
    <row r="28" spans="1:17">
      <c r="A28" s="8">
        <f t="shared" si="1"/>
        <v>17</v>
      </c>
      <c r="B28" s="212">
        <v>9320</v>
      </c>
      <c r="C28" s="5" t="s">
        <v>333</v>
      </c>
      <c r="D28" s="116">
        <v>3.5146778978883315</v>
      </c>
      <c r="E28" s="116">
        <v>3.5146778978883315</v>
      </c>
      <c r="F28" s="116">
        <v>8.3675368620837762</v>
      </c>
      <c r="G28" s="116">
        <v>3.5146778978883315</v>
      </c>
      <c r="H28" s="116">
        <v>3.5146778978883315</v>
      </c>
      <c r="I28" s="116">
        <v>8.3675368620837762</v>
      </c>
      <c r="J28" s="116">
        <v>14.930872403251541</v>
      </c>
      <c r="K28" s="116">
        <v>3.5146778978883315</v>
      </c>
      <c r="L28" s="116">
        <v>8.3675368620837762</v>
      </c>
      <c r="M28" s="116">
        <v>3.5146778978883315</v>
      </c>
      <c r="N28" s="116">
        <v>3.5146778978883315</v>
      </c>
      <c r="O28" s="116">
        <v>8.3675368620837762</v>
      </c>
      <c r="P28" s="5">
        <f t="shared" si="0"/>
        <v>73.003765136804972</v>
      </c>
      <c r="Q28" s="5"/>
    </row>
    <row r="29" spans="1:17">
      <c r="A29" s="8">
        <f t="shared" si="1"/>
        <v>18</v>
      </c>
      <c r="B29" s="5"/>
      <c r="C29" s="246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5"/>
      <c r="Q29" s="5"/>
    </row>
    <row r="30" spans="1:17" ht="15.75" thickBot="1">
      <c r="A30" s="8">
        <f t="shared" si="1"/>
        <v>19</v>
      </c>
      <c r="B30" s="5" t="s">
        <v>334</v>
      </c>
      <c r="C30" s="246"/>
      <c r="D30" s="247">
        <f t="shared" ref="D30:P30" si="3">SUM(D12:D29)</f>
        <v>-1.6777512712451426E-10</v>
      </c>
      <c r="E30" s="247">
        <f t="shared" si="3"/>
        <v>-5.1359805297579442E-11</v>
      </c>
      <c r="F30" s="247">
        <f t="shared" si="3"/>
        <v>-3.5523406438642269E-10</v>
      </c>
      <c r="G30" s="247">
        <f t="shared" si="3"/>
        <v>4.4340531246689352E-10</v>
      </c>
      <c r="H30" s="247">
        <f t="shared" si="3"/>
        <v>6.5055516529355373E-11</v>
      </c>
      <c r="I30" s="247">
        <f t="shared" si="3"/>
        <v>-9.3299590275819355E-11</v>
      </c>
      <c r="J30" s="247">
        <f t="shared" si="3"/>
        <v>1.6630963273200905E-10</v>
      </c>
      <c r="K30" s="247">
        <f t="shared" si="3"/>
        <v>-1.6777512712451426E-10</v>
      </c>
      <c r="L30" s="247">
        <f t="shared" si="3"/>
        <v>2.2684254474825138E-10</v>
      </c>
      <c r="M30" s="247">
        <f t="shared" si="3"/>
        <v>2.1057466881302389E-10</v>
      </c>
      <c r="N30" s="247">
        <f t="shared" si="3"/>
        <v>-1.6777512712451426E-10</v>
      </c>
      <c r="O30" s="247">
        <f t="shared" si="3"/>
        <v>2.3115731551115459E-11</v>
      </c>
      <c r="P30" s="247">
        <f t="shared" si="3"/>
        <v>1.0298606412106892E-10</v>
      </c>
      <c r="Q30" s="257"/>
    </row>
    <row r="31" spans="1:17" ht="15.75" thickTop="1">
      <c r="A31" s="8">
        <f t="shared" si="1"/>
        <v>20</v>
      </c>
      <c r="B31" s="5"/>
      <c r="C31" s="24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8">
        <f t="shared" si="1"/>
        <v>21</v>
      </c>
      <c r="B32" s="212">
        <f t="shared" ref="B32:O32" si="4">B22</f>
        <v>9220</v>
      </c>
      <c r="C32" s="5" t="str">
        <f t="shared" si="4"/>
        <v>A&amp;G-Administrative expense transferred-Credit</v>
      </c>
      <c r="D32" s="5">
        <f t="shared" si="4"/>
        <v>-3907670.4829000006</v>
      </c>
      <c r="E32" s="5">
        <f t="shared" si="4"/>
        <v>-4194183.1487000012</v>
      </c>
      <c r="F32" s="5">
        <f t="shared" si="4"/>
        <v>-3893524.4295000006</v>
      </c>
      <c r="G32" s="5">
        <f t="shared" si="4"/>
        <v>-3977652.7277999995</v>
      </c>
      <c r="H32" s="5">
        <f t="shared" si="4"/>
        <v>-4067299.7337000002</v>
      </c>
      <c r="I32" s="5">
        <f t="shared" si="4"/>
        <v>-3611820.8709000009</v>
      </c>
      <c r="J32" s="5">
        <f t="shared" si="4"/>
        <v>-4091130.5630900292</v>
      </c>
      <c r="K32" s="5">
        <f t="shared" si="4"/>
        <v>-4036197.2706900295</v>
      </c>
      <c r="L32" s="5">
        <f t="shared" si="4"/>
        <v>-3884057.4690350574</v>
      </c>
      <c r="M32" s="5">
        <f t="shared" si="4"/>
        <v>-4330596.873187772</v>
      </c>
      <c r="N32" s="5">
        <f t="shared" si="4"/>
        <v>-3793887.1603926597</v>
      </c>
      <c r="O32" s="5">
        <f t="shared" si="4"/>
        <v>-4140888.3959770026</v>
      </c>
      <c r="P32" s="5">
        <f>SUM(D32:O32)</f>
        <v>-47928909.12587256</v>
      </c>
      <c r="Q32" s="5"/>
    </row>
    <row r="33" spans="1:17">
      <c r="A33" s="8">
        <f t="shared" si="1"/>
        <v>22</v>
      </c>
      <c r="B33" s="5"/>
      <c r="C33" s="5" t="s">
        <v>341</v>
      </c>
      <c r="D33" s="250">
        <v>5.67090596975168E-2</v>
      </c>
      <c r="E33" s="250">
        <f>D33</f>
        <v>5.67090596975168E-2</v>
      </c>
      <c r="F33" s="250">
        <f t="shared" ref="F33:O33" si="5">E33</f>
        <v>5.67090596975168E-2</v>
      </c>
      <c r="G33" s="250">
        <f t="shared" si="5"/>
        <v>5.67090596975168E-2</v>
      </c>
      <c r="H33" s="250">
        <f t="shared" si="5"/>
        <v>5.67090596975168E-2</v>
      </c>
      <c r="I33" s="250">
        <f t="shared" si="5"/>
        <v>5.67090596975168E-2</v>
      </c>
      <c r="J33" s="250">
        <f t="shared" si="5"/>
        <v>5.67090596975168E-2</v>
      </c>
      <c r="K33" s="250">
        <f t="shared" si="5"/>
        <v>5.67090596975168E-2</v>
      </c>
      <c r="L33" s="250">
        <f t="shared" si="5"/>
        <v>5.67090596975168E-2</v>
      </c>
      <c r="M33" s="250">
        <f t="shared" si="5"/>
        <v>5.67090596975168E-2</v>
      </c>
      <c r="N33" s="250">
        <f t="shared" si="5"/>
        <v>5.67090596975168E-2</v>
      </c>
      <c r="O33" s="250">
        <f t="shared" si="5"/>
        <v>5.67090596975168E-2</v>
      </c>
      <c r="P33" s="190"/>
      <c r="Q33" s="283"/>
    </row>
    <row r="34" spans="1:17">
      <c r="A34" s="8">
        <f t="shared" si="1"/>
        <v>23</v>
      </c>
      <c r="B34" s="5"/>
      <c r="C34" s="5" t="s">
        <v>342</v>
      </c>
      <c r="D34" s="5">
        <f>D32*D33</f>
        <v>-221600.31869300044</v>
      </c>
      <c r="E34" s="5">
        <f t="shared" ref="E34:O34" si="6">E32*E33</f>
        <v>-237848.18256194735</v>
      </c>
      <c r="F34" s="5">
        <f t="shared" si="6"/>
        <v>-220798.10930625559</v>
      </c>
      <c r="G34" s="5">
        <f t="shared" si="6"/>
        <v>-225568.94599680073</v>
      </c>
      <c r="H34" s="5">
        <f t="shared" si="6"/>
        <v>-230652.74340608751</v>
      </c>
      <c r="I34" s="5">
        <f t="shared" si="6"/>
        <v>-204822.96538460528</v>
      </c>
      <c r="J34" s="5">
        <f t="shared" si="6"/>
        <v>-232004.16733260799</v>
      </c>
      <c r="K34" s="5">
        <f t="shared" si="6"/>
        <v>-228888.95197451525</v>
      </c>
      <c r="L34" s="5">
        <f t="shared" si="6"/>
        <v>-220261.24688009507</v>
      </c>
      <c r="M34" s="5">
        <f t="shared" si="6"/>
        <v>-245584.07660748495</v>
      </c>
      <c r="N34" s="5">
        <f t="shared" si="6"/>
        <v>-215147.77346434983</v>
      </c>
      <c r="O34" s="5">
        <f t="shared" si="6"/>
        <v>-234825.88724821442</v>
      </c>
      <c r="P34" s="5">
        <f>SUM(D34:O34)</f>
        <v>-2718003.3688559649</v>
      </c>
      <c r="Q34" s="255"/>
    </row>
    <row r="35" spans="1:17">
      <c r="A35" s="5"/>
      <c r="B35" s="5"/>
      <c r="C35" s="24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0"/>
      <c r="P35" s="260"/>
      <c r="Q35" s="5"/>
    </row>
    <row r="36" spans="1:17">
      <c r="A36" s="5"/>
      <c r="B36" s="5" t="s">
        <v>343</v>
      </c>
      <c r="C36" s="24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90"/>
      <c r="P36" s="190"/>
      <c r="Q36" s="5"/>
    </row>
    <row r="37" spans="1:17">
      <c r="A37" s="5"/>
      <c r="B37" s="5"/>
      <c r="C37" s="24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190"/>
    </row>
    <row r="38" spans="1:17">
      <c r="A38" s="5"/>
      <c r="B38" s="5"/>
      <c r="C38" s="5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>
      <c r="A39" s="5"/>
      <c r="B39" s="5"/>
      <c r="C39" s="19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90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0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190"/>
      <c r="Q43" s="5"/>
    </row>
    <row r="44" spans="1:17">
      <c r="A44" s="5"/>
    </row>
    <row r="45" spans="1:17">
      <c r="A45" s="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52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="60" zoomScaleNormal="75" workbookViewId="0">
      <pane xSplit="3" ySplit="11" topLeftCell="D18" activePane="bottomRight" state="frozen"/>
      <selection activeCell="E14" sqref="E14"/>
      <selection pane="topRight" activeCell="E14" sqref="E14"/>
      <selection pane="bottomLeft" activeCell="E14" sqref="E14"/>
      <selection pane="bottomRight" sqref="A1:P1"/>
    </sheetView>
  </sheetViews>
  <sheetFormatPr defaultColWidth="7.109375" defaultRowHeight="15"/>
  <cols>
    <col min="1" max="1" width="4.6640625" style="9" customWidth="1"/>
    <col min="2" max="2" width="7.21875" style="9" customWidth="1"/>
    <col min="3" max="3" width="38.88671875" style="9" customWidth="1"/>
    <col min="4" max="5" width="11.109375" style="9" customWidth="1"/>
    <col min="6" max="6" width="11.77734375" style="9" bestFit="1" customWidth="1"/>
    <col min="7" max="7" width="11.33203125" style="9" bestFit="1" customWidth="1"/>
    <col min="8" max="8" width="11.109375" style="9" customWidth="1"/>
    <col min="9" max="9" width="12" style="9" bestFit="1" customWidth="1"/>
    <col min="10" max="13" width="11.33203125" style="9" bestFit="1" customWidth="1"/>
    <col min="14" max="14" width="10" style="9" customWidth="1"/>
    <col min="15" max="15" width="10.77734375" style="9" customWidth="1"/>
    <col min="16" max="16" width="12.44140625" style="9" customWidth="1"/>
    <col min="17" max="17" width="12.5546875" style="9" customWidth="1"/>
    <col min="18" max="18" width="7.109375" style="9"/>
    <col min="19" max="19" width="8.109375" style="9" customWidth="1"/>
    <col min="20" max="20" width="8.77734375" style="9" customWidth="1"/>
    <col min="21" max="16384" width="7.109375" style="9"/>
  </cols>
  <sheetData>
    <row r="1" spans="1:18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</row>
    <row r="2" spans="1:18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</row>
    <row r="3" spans="1:18" ht="15.75">
      <c r="A3" s="308" t="s">
        <v>345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</row>
    <row r="4" spans="1:18">
      <c r="A4" s="308" t="s">
        <v>387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</row>
    <row r="5" spans="1:18">
      <c r="A5" s="5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5"/>
      <c r="Q5" s="5"/>
    </row>
    <row r="6" spans="1:18">
      <c r="A6" s="194" t="str">
        <f>'C.2.1 F'!A6</f>
        <v>Data:________Base Period___X____Forecasted Period</v>
      </c>
      <c r="B6" s="5"/>
      <c r="C6" s="19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</row>
    <row r="7" spans="1:18" ht="15.75">
      <c r="A7" s="194" t="str">
        <f>'C.2.1 F'!A7</f>
        <v>Type of Filing:___X____Original________Updated ________Revised</v>
      </c>
      <c r="B7" s="5"/>
      <c r="C7" s="194"/>
      <c r="D7" s="5"/>
      <c r="E7" s="5"/>
      <c r="F7" s="276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</row>
    <row r="8" spans="1:18">
      <c r="A8" s="198" t="str">
        <f>'C.2.1 F'!A8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199"/>
      <c r="N8" s="199"/>
      <c r="O8" s="199"/>
      <c r="P8" s="201" t="str">
        <f>C.1!J9</f>
        <v>Witness: Waller, Martin</v>
      </c>
      <c r="Q8" s="5"/>
    </row>
    <row r="9" spans="1:18">
      <c r="A9" s="277" t="s">
        <v>21</v>
      </c>
      <c r="B9" s="278" t="s">
        <v>237</v>
      </c>
      <c r="C9" s="279"/>
      <c r="D9" s="269" t="s">
        <v>20</v>
      </c>
      <c r="E9" s="206" t="s">
        <v>20</v>
      </c>
      <c r="F9" s="206" t="s">
        <v>20</v>
      </c>
      <c r="G9" s="206" t="s">
        <v>20</v>
      </c>
      <c r="H9" s="206" t="s">
        <v>20</v>
      </c>
      <c r="I9" s="206" t="s">
        <v>20</v>
      </c>
      <c r="J9" s="206" t="s">
        <v>20</v>
      </c>
      <c r="K9" s="206" t="s">
        <v>20</v>
      </c>
      <c r="L9" s="206" t="s">
        <v>20</v>
      </c>
      <c r="M9" s="206" t="s">
        <v>20</v>
      </c>
      <c r="N9" s="206" t="s">
        <v>20</v>
      </c>
      <c r="O9" s="206" t="s">
        <v>20</v>
      </c>
      <c r="P9" s="243"/>
      <c r="Q9" s="5"/>
    </row>
    <row r="10" spans="1:18">
      <c r="A10" s="280" t="s">
        <v>24</v>
      </c>
      <c r="B10" s="199" t="s">
        <v>24</v>
      </c>
      <c r="C10" s="281" t="s">
        <v>240</v>
      </c>
      <c r="D10" s="209">
        <f>'C.2.2-F 09'!D10</f>
        <v>43191</v>
      </c>
      <c r="E10" s="209">
        <f>'C.2.2-F 09'!F10</f>
        <v>43252</v>
      </c>
      <c r="F10" s="209">
        <f>'C.2.2-F 09'!F10</f>
        <v>43252</v>
      </c>
      <c r="G10" s="209">
        <f>'C.2.2-F 09'!G10</f>
        <v>43282</v>
      </c>
      <c r="H10" s="209">
        <f>'C.2.2-F 09'!H10</f>
        <v>43313</v>
      </c>
      <c r="I10" s="209">
        <f>'C.2.2-F 09'!I10</f>
        <v>43344</v>
      </c>
      <c r="J10" s="209">
        <f>'C.2.2-F 09'!J10</f>
        <v>43374</v>
      </c>
      <c r="K10" s="209">
        <f>'C.2.2-F 09'!K10</f>
        <v>43405</v>
      </c>
      <c r="L10" s="209">
        <f>'C.2.2-F 09'!L10</f>
        <v>43435</v>
      </c>
      <c r="M10" s="209">
        <f>'C.2.2-F 09'!M10</f>
        <v>43466</v>
      </c>
      <c r="N10" s="209">
        <f>'C.2.2-F 09'!N10</f>
        <v>43497</v>
      </c>
      <c r="O10" s="209">
        <f>'C.2.2-F 09'!O10</f>
        <v>43525</v>
      </c>
      <c r="P10" s="244" t="str">
        <f>'C.2.2 B 09'!P10</f>
        <v>Total</v>
      </c>
      <c r="Q10" s="256"/>
    </row>
    <row r="11" spans="1:18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68"/>
    </row>
    <row r="12" spans="1:18">
      <c r="A12" s="8">
        <v>1</v>
      </c>
      <c r="B12" s="212">
        <v>4030</v>
      </c>
      <c r="C12" s="5" t="s">
        <v>70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39">
        <f t="shared" ref="P12:P48" si="0">SUM(D12:O12)</f>
        <v>0</v>
      </c>
      <c r="Q12" s="5"/>
    </row>
    <row r="13" spans="1:18">
      <c r="A13" s="8">
        <f>A12+1</f>
        <v>2</v>
      </c>
      <c r="B13" s="212">
        <v>4060</v>
      </c>
      <c r="C13" s="5" t="s">
        <v>245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39"/>
      <c r="Q13" s="5"/>
    </row>
    <row r="14" spans="1:18">
      <c r="A14" s="8">
        <f t="shared" ref="A14:A54" si="1">A13+1</f>
        <v>3</v>
      </c>
      <c r="B14" s="212">
        <v>4081</v>
      </c>
      <c r="C14" s="5" t="s">
        <v>246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39">
        <f t="shared" si="0"/>
        <v>0</v>
      </c>
      <c r="Q14" s="5"/>
    </row>
    <row r="15" spans="1:18">
      <c r="A15" s="8">
        <f t="shared" si="1"/>
        <v>4</v>
      </c>
      <c r="B15" s="212">
        <v>8170</v>
      </c>
      <c r="C15" s="5" t="s">
        <v>275</v>
      </c>
      <c r="D15" s="116">
        <v>40.036581902291019</v>
      </c>
      <c r="E15" s="116">
        <v>39.818833011095883</v>
      </c>
      <c r="F15" s="116">
        <v>39.855011435385833</v>
      </c>
      <c r="G15" s="116">
        <v>41.475503356706511</v>
      </c>
      <c r="H15" s="116">
        <v>39.57764351582955</v>
      </c>
      <c r="I15" s="116">
        <v>40.203228769176604</v>
      </c>
      <c r="J15" s="116">
        <v>40.749447604237574</v>
      </c>
      <c r="K15" s="116">
        <v>41.422094957848472</v>
      </c>
      <c r="L15" s="116">
        <v>40.995310145974692</v>
      </c>
      <c r="M15" s="116">
        <v>41.746012449991156</v>
      </c>
      <c r="N15" s="116">
        <v>40.154161781233356</v>
      </c>
      <c r="O15" s="116">
        <v>40.366710023936811</v>
      </c>
      <c r="P15" s="5">
        <f t="shared" si="0"/>
        <v>486.4005389537075</v>
      </c>
      <c r="Q15" s="5"/>
      <c r="R15" s="212"/>
    </row>
    <row r="16" spans="1:18">
      <c r="A16" s="8">
        <f t="shared" si="1"/>
        <v>5</v>
      </c>
      <c r="B16" s="212">
        <v>8180</v>
      </c>
      <c r="C16" s="5" t="s">
        <v>276</v>
      </c>
      <c r="D16" s="116">
        <v>41.70744791256547</v>
      </c>
      <c r="E16" s="116">
        <v>41.480611601720938</v>
      </c>
      <c r="F16" s="116">
        <v>41.518299877666038</v>
      </c>
      <c r="G16" s="116">
        <v>43.206420571039899</v>
      </c>
      <c r="H16" s="116">
        <v>41.229356428753647</v>
      </c>
      <c r="I16" s="116">
        <v>41.881049533637537</v>
      </c>
      <c r="J16" s="116">
        <v>42.450063983166842</v>
      </c>
      <c r="K16" s="116">
        <v>43.150783253675939</v>
      </c>
      <c r="L16" s="116">
        <v>42.706187225110341</v>
      </c>
      <c r="M16" s="116">
        <v>43.488218950971003</v>
      </c>
      <c r="N16" s="116">
        <v>41.829934809386998</v>
      </c>
      <c r="O16" s="116">
        <v>42.051353430564376</v>
      </c>
      <c r="P16" s="5">
        <f t="shared" si="0"/>
        <v>506.69972757825894</v>
      </c>
      <c r="Q16" s="5"/>
      <c r="R16" s="212"/>
    </row>
    <row r="17" spans="1:18">
      <c r="A17" s="8">
        <f t="shared" si="1"/>
        <v>6</v>
      </c>
      <c r="B17" s="212">
        <v>8190</v>
      </c>
      <c r="C17" s="5" t="s">
        <v>277</v>
      </c>
      <c r="D17" s="116">
        <v>465.03523537254159</v>
      </c>
      <c r="E17" s="116">
        <v>462.50602578326732</v>
      </c>
      <c r="F17" s="116">
        <v>462.92624752187987</v>
      </c>
      <c r="G17" s="116">
        <v>481.74867956390045</v>
      </c>
      <c r="H17" s="116">
        <v>459.70454752585033</v>
      </c>
      <c r="I17" s="116">
        <v>466.97088175602573</v>
      </c>
      <c r="J17" s="116">
        <v>473.3153545471198</v>
      </c>
      <c r="K17" s="116">
        <v>481.1283272222737</v>
      </c>
      <c r="L17" s="116">
        <v>476.17111144577422</v>
      </c>
      <c r="M17" s="116">
        <v>484.89071252198471</v>
      </c>
      <c r="N17" s="116">
        <v>466.40095602303239</v>
      </c>
      <c r="O17" s="116">
        <v>468.86975873738112</v>
      </c>
      <c r="P17" s="5">
        <f t="shared" si="0"/>
        <v>5649.6678380210305</v>
      </c>
      <c r="Q17" s="5"/>
      <c r="R17" s="212"/>
    </row>
    <row r="18" spans="1:18">
      <c r="A18" s="8">
        <f t="shared" si="1"/>
        <v>7</v>
      </c>
      <c r="B18" s="212">
        <v>8210</v>
      </c>
      <c r="C18" s="5" t="s">
        <v>279</v>
      </c>
      <c r="D18" s="116">
        <v>275.68807651945593</v>
      </c>
      <c r="E18" s="116">
        <v>274.18867846583748</v>
      </c>
      <c r="F18" s="116">
        <v>274.43779963777826</v>
      </c>
      <c r="G18" s="116">
        <v>285.59635213095828</v>
      </c>
      <c r="H18" s="116">
        <v>272.52787065289908</v>
      </c>
      <c r="I18" s="116">
        <v>276.83559091770809</v>
      </c>
      <c r="J18" s="116">
        <v>280.59680161157206</v>
      </c>
      <c r="K18" s="116">
        <v>285.22858700088068</v>
      </c>
      <c r="L18" s="116">
        <v>282.28978757588612</v>
      </c>
      <c r="M18" s="116">
        <v>287.45905189365698</v>
      </c>
      <c r="N18" s="116">
        <v>276.49772032826343</v>
      </c>
      <c r="O18" s="116">
        <v>277.96130721341541</v>
      </c>
      <c r="P18" s="5">
        <f t="shared" si="0"/>
        <v>3349.3076239483116</v>
      </c>
      <c r="Q18" s="5"/>
      <c r="R18" s="212"/>
    </row>
    <row r="19" spans="1:18">
      <c r="A19" s="8">
        <f t="shared" si="1"/>
        <v>8</v>
      </c>
      <c r="B19" s="212">
        <v>8240</v>
      </c>
      <c r="C19" s="5" t="s">
        <v>280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5">
        <f t="shared" si="0"/>
        <v>0</v>
      </c>
      <c r="Q19" s="5"/>
      <c r="R19" s="212"/>
    </row>
    <row r="20" spans="1:18">
      <c r="A20" s="8">
        <f t="shared" si="1"/>
        <v>9</v>
      </c>
      <c r="B20" s="212">
        <v>8250</v>
      </c>
      <c r="C20" s="5" t="s">
        <v>281</v>
      </c>
      <c r="D20" s="116">
        <v>1353.0965071868736</v>
      </c>
      <c r="E20" s="116">
        <v>1345.7373558777283</v>
      </c>
      <c r="F20" s="116">
        <v>1346.9600601450838</v>
      </c>
      <c r="G20" s="116">
        <v>1401.7270221203787</v>
      </c>
      <c r="H20" s="116">
        <v>1337.585994095359</v>
      </c>
      <c r="I20" s="116">
        <v>1358.7285887183798</v>
      </c>
      <c r="J20" s="116">
        <v>1377.1888758548896</v>
      </c>
      <c r="K20" s="116">
        <v>1399.9220049456953</v>
      </c>
      <c r="L20" s="116">
        <v>1385.4981702717923</v>
      </c>
      <c r="M20" s="116">
        <v>1410.8692838194174</v>
      </c>
      <c r="N20" s="116">
        <v>1357.070296055779</v>
      </c>
      <c r="O20" s="116">
        <v>1364.2536836264917</v>
      </c>
      <c r="P20" s="5">
        <f t="shared" si="0"/>
        <v>16438.637842717872</v>
      </c>
      <c r="Q20" s="5"/>
      <c r="R20" s="212"/>
    </row>
    <row r="21" spans="1:18">
      <c r="A21" s="8">
        <f t="shared" si="1"/>
        <v>10</v>
      </c>
      <c r="B21" s="212">
        <v>8500</v>
      </c>
      <c r="C21" s="5" t="s">
        <v>150</v>
      </c>
      <c r="D21" s="116">
        <v>8318.3193290533382</v>
      </c>
      <c r="E21" s="116">
        <v>6960.8831488267606</v>
      </c>
      <c r="F21" s="116">
        <v>6690.2217428700806</v>
      </c>
      <c r="G21" s="116">
        <v>6736.6597645958045</v>
      </c>
      <c r="H21" s="116">
        <v>6762.1472282883724</v>
      </c>
      <c r="I21" s="116">
        <v>8625.49180109806</v>
      </c>
      <c r="J21" s="116">
        <v>6696.4044167520033</v>
      </c>
      <c r="K21" s="116">
        <v>6860.1139119980571</v>
      </c>
      <c r="L21" s="116">
        <v>6987.1158933009101</v>
      </c>
      <c r="M21" s="116">
        <v>7361.7888327476376</v>
      </c>
      <c r="N21" s="116">
        <v>7086.3649409126756</v>
      </c>
      <c r="O21" s="116">
        <v>7339.0703562190738</v>
      </c>
      <c r="P21" s="5">
        <f t="shared" si="0"/>
        <v>86424.58136666278</v>
      </c>
      <c r="Q21" s="5"/>
      <c r="R21" s="212"/>
    </row>
    <row r="22" spans="1:18">
      <c r="A22" s="8">
        <f t="shared" si="1"/>
        <v>11</v>
      </c>
      <c r="B22" s="212">
        <v>8560</v>
      </c>
      <c r="C22" s="5" t="s">
        <v>288</v>
      </c>
      <c r="D22" s="116">
        <v>74.620568826680255</v>
      </c>
      <c r="E22" s="116">
        <v>72.977126069074529</v>
      </c>
      <c r="F22" s="116">
        <v>77.25005234639994</v>
      </c>
      <c r="G22" s="116">
        <v>80.161700345523485</v>
      </c>
      <c r="H22" s="116">
        <v>80.663095239926136</v>
      </c>
      <c r="I22" s="116">
        <v>75.376423215234894</v>
      </c>
      <c r="J22" s="116">
        <v>78.863754640246754</v>
      </c>
      <c r="K22" s="116">
        <v>84.160059462032748</v>
      </c>
      <c r="L22" s="116">
        <v>65.919388769020557</v>
      </c>
      <c r="M22" s="116">
        <v>89.901724253433798</v>
      </c>
      <c r="N22" s="116">
        <v>58.524034990340432</v>
      </c>
      <c r="O22" s="116">
        <v>92.00585076517433</v>
      </c>
      <c r="P22" s="5">
        <f t="shared" si="0"/>
        <v>930.42377892308787</v>
      </c>
      <c r="Q22" s="5"/>
      <c r="R22" s="212"/>
    </row>
    <row r="23" spans="1:18">
      <c r="A23" s="8">
        <f t="shared" si="1"/>
        <v>12</v>
      </c>
      <c r="B23" s="212">
        <v>8570</v>
      </c>
      <c r="C23" s="5" t="s">
        <v>289</v>
      </c>
      <c r="D23" s="116">
        <v>80.071558745974656</v>
      </c>
      <c r="E23" s="116">
        <v>79.636069693094143</v>
      </c>
      <c r="F23" s="116">
        <v>79.708425091288206</v>
      </c>
      <c r="G23" s="116">
        <v>82.949343968730673</v>
      </c>
      <c r="H23" s="116">
        <v>79.153700371800383</v>
      </c>
      <c r="I23" s="116">
        <v>80.404845798906081</v>
      </c>
      <c r="J23" s="116">
        <v>81.497261571223532</v>
      </c>
      <c r="K23" s="116">
        <v>82.842529312146681</v>
      </c>
      <c r="L23" s="116">
        <v>81.988976798117363</v>
      </c>
      <c r="M23" s="116">
        <v>83.490351310644186</v>
      </c>
      <c r="N23" s="116">
        <v>80.306713790105363</v>
      </c>
      <c r="O23" s="116">
        <v>80.731801754495493</v>
      </c>
      <c r="P23" s="5">
        <f t="shared" si="0"/>
        <v>972.78157820652677</v>
      </c>
      <c r="Q23" s="5"/>
      <c r="R23" s="212"/>
    </row>
    <row r="24" spans="1:18">
      <c r="A24" s="8">
        <f t="shared" si="1"/>
        <v>13</v>
      </c>
      <c r="B24" s="212">
        <v>8650</v>
      </c>
      <c r="C24" s="262" t="s">
        <v>347</v>
      </c>
      <c r="D24" s="116">
        <v>5298.0477130803256</v>
      </c>
      <c r="E24" s="116">
        <v>4433.4157482436904</v>
      </c>
      <c r="F24" s="116">
        <v>4257.702537821061</v>
      </c>
      <c r="G24" s="116">
        <v>4288.9345333234214</v>
      </c>
      <c r="H24" s="116">
        <v>4305.7048516894029</v>
      </c>
      <c r="I24" s="116">
        <v>5491.3178316544627</v>
      </c>
      <c r="J24" s="116">
        <v>4264.3130924060515</v>
      </c>
      <c r="K24" s="116">
        <v>4363.3947468683791</v>
      </c>
      <c r="L24" s="116">
        <v>4449.1890820726312</v>
      </c>
      <c r="M24" s="116">
        <v>4687.9531139649853</v>
      </c>
      <c r="N24" s="116">
        <v>4513.4808199829013</v>
      </c>
      <c r="O24" s="116">
        <v>4672.1393571348917</v>
      </c>
      <c r="P24" s="5">
        <f t="shared" si="0"/>
        <v>55025.593428242195</v>
      </c>
      <c r="Q24" s="5"/>
      <c r="R24" s="212"/>
    </row>
    <row r="25" spans="1:18">
      <c r="A25" s="8">
        <f t="shared" si="1"/>
        <v>14</v>
      </c>
      <c r="B25" s="212">
        <v>8700</v>
      </c>
      <c r="C25" s="5" t="s">
        <v>293</v>
      </c>
      <c r="D25" s="116">
        <v>275736.39491261786</v>
      </c>
      <c r="E25" s="116">
        <v>297424.92548677098</v>
      </c>
      <c r="F25" s="116">
        <v>290308.89154495514</v>
      </c>
      <c r="G25" s="116">
        <v>266473.99656340276</v>
      </c>
      <c r="H25" s="116">
        <v>279195.67115997849</v>
      </c>
      <c r="I25" s="116">
        <v>290705.14564415946</v>
      </c>
      <c r="J25" s="116">
        <v>263463.26119267487</v>
      </c>
      <c r="K25" s="116">
        <v>308461.35233482841</v>
      </c>
      <c r="L25" s="116">
        <v>266872.54038288497</v>
      </c>
      <c r="M25" s="116">
        <v>303089.90929767932</v>
      </c>
      <c r="N25" s="116">
        <v>283943.70923870167</v>
      </c>
      <c r="O25" s="116">
        <v>302924.23008182942</v>
      </c>
      <c r="P25" s="5">
        <f t="shared" si="0"/>
        <v>3428600.027840483</v>
      </c>
      <c r="Q25" s="5"/>
      <c r="R25" s="212"/>
    </row>
    <row r="26" spans="1:18">
      <c r="A26" s="8">
        <f t="shared" si="1"/>
        <v>15</v>
      </c>
      <c r="B26" s="212">
        <v>8711</v>
      </c>
      <c r="C26" s="5" t="s">
        <v>295</v>
      </c>
      <c r="D26" s="116">
        <v>7027.3723298555979</v>
      </c>
      <c r="E26" s="116">
        <v>6574.9497540886368</v>
      </c>
      <c r="F26" s="116">
        <v>7988.8037103075239</v>
      </c>
      <c r="G26" s="116">
        <v>8236.8785602089156</v>
      </c>
      <c r="H26" s="116">
        <v>9255.4204016723652</v>
      </c>
      <c r="I26" s="116">
        <v>7205.6420788337955</v>
      </c>
      <c r="J26" s="116">
        <v>8127.9410753636785</v>
      </c>
      <c r="K26" s="116">
        <v>9598.9980041400049</v>
      </c>
      <c r="L26" s="116">
        <v>3685.4852452222749</v>
      </c>
      <c r="M26" s="116">
        <v>11375.430406451404</v>
      </c>
      <c r="N26" s="116">
        <v>1587.4467325980484</v>
      </c>
      <c r="O26" s="116">
        <v>12697.929211079232</v>
      </c>
      <c r="P26" s="5">
        <f t="shared" si="0"/>
        <v>93362.297509821467</v>
      </c>
      <c r="Q26" s="5"/>
    </row>
    <row r="27" spans="1:18">
      <c r="A27" s="8">
        <f t="shared" si="1"/>
        <v>16</v>
      </c>
      <c r="B27" s="212">
        <v>8740</v>
      </c>
      <c r="C27" s="5" t="s">
        <v>297</v>
      </c>
      <c r="D27" s="116">
        <v>2675.929590510671</v>
      </c>
      <c r="E27" s="116">
        <v>1924.6730834617138</v>
      </c>
      <c r="F27" s="116">
        <v>2714.1373306586083</v>
      </c>
      <c r="G27" s="116">
        <v>2405.9395027209712</v>
      </c>
      <c r="H27" s="116">
        <v>2285.1064785644153</v>
      </c>
      <c r="I27" s="116">
        <v>3601.1133828692673</v>
      </c>
      <c r="J27" s="116">
        <v>1748.759481340657</v>
      </c>
      <c r="K27" s="116">
        <v>2213.4161061606551</v>
      </c>
      <c r="L27" s="116">
        <v>1844.6534552949045</v>
      </c>
      <c r="M27" s="116">
        <v>2751.948727615702</v>
      </c>
      <c r="N27" s="116">
        <v>1532.5645370854688</v>
      </c>
      <c r="O27" s="116">
        <v>2985.8063713916372</v>
      </c>
      <c r="P27" s="5">
        <f t="shared" si="0"/>
        <v>28684.048047674671</v>
      </c>
      <c r="Q27" s="5"/>
      <c r="R27" s="212"/>
    </row>
    <row r="28" spans="1:18">
      <c r="A28" s="8">
        <f t="shared" si="1"/>
        <v>17</v>
      </c>
      <c r="B28" s="212">
        <v>8750</v>
      </c>
      <c r="C28" s="5" t="s">
        <v>351</v>
      </c>
      <c r="D28" s="116">
        <v>17297.994164726439</v>
      </c>
      <c r="E28" s="116">
        <v>16559.567156563859</v>
      </c>
      <c r="F28" s="116">
        <v>18390.692609707501</v>
      </c>
      <c r="G28" s="116">
        <v>17505.846634703768</v>
      </c>
      <c r="H28" s="116">
        <v>18749.835368179814</v>
      </c>
      <c r="I28" s="116">
        <v>16579.511711918367</v>
      </c>
      <c r="J28" s="116">
        <v>17611.488415407897</v>
      </c>
      <c r="K28" s="116">
        <v>18911.021927623256</v>
      </c>
      <c r="L28" s="116">
        <v>15453.594879980981</v>
      </c>
      <c r="M28" s="116">
        <v>18709.238054622059</v>
      </c>
      <c r="N28" s="116">
        <v>13381.381603840555</v>
      </c>
      <c r="O28" s="116">
        <v>23177.393027027058</v>
      </c>
      <c r="P28" s="5">
        <f t="shared" si="0"/>
        <v>212327.56555430157</v>
      </c>
      <c r="Q28" s="5"/>
      <c r="R28" s="212"/>
    </row>
    <row r="29" spans="1:18">
      <c r="A29" s="8">
        <f t="shared" si="1"/>
        <v>18</v>
      </c>
      <c r="B29" s="212">
        <v>8760</v>
      </c>
      <c r="C29" s="9" t="s">
        <v>299</v>
      </c>
      <c r="D29" s="116">
        <v>-94.104428356360287</v>
      </c>
      <c r="E29" s="116">
        <v>-88.045980636551377</v>
      </c>
      <c r="F29" s="116">
        <v>-106.97907711759278</v>
      </c>
      <c r="G29" s="116">
        <v>-110.30107869140721</v>
      </c>
      <c r="H29" s="116">
        <v>-123.94050083227478</v>
      </c>
      <c r="I29" s="116">
        <v>-96.491661027888583</v>
      </c>
      <c r="J29" s="116">
        <v>-108.84228310512705</v>
      </c>
      <c r="K29" s="116">
        <v>-128.54139179957184</v>
      </c>
      <c r="L29" s="116">
        <v>-49.352797310025153</v>
      </c>
      <c r="M29" s="116">
        <v>-152.32982193910101</v>
      </c>
      <c r="N29" s="116">
        <v>-21.257699223171933</v>
      </c>
      <c r="O29" s="116">
        <v>-170.0395700739389</v>
      </c>
      <c r="P29" s="5">
        <f t="shared" si="0"/>
        <v>-1250.2262901130109</v>
      </c>
      <c r="Q29" s="5"/>
      <c r="R29" s="212"/>
    </row>
    <row r="30" spans="1:18">
      <c r="A30" s="8">
        <f t="shared" si="1"/>
        <v>19</v>
      </c>
      <c r="B30" s="212">
        <v>8770</v>
      </c>
      <c r="C30" s="5" t="s">
        <v>300</v>
      </c>
      <c r="D30" s="116">
        <v>55.283578183448789</v>
      </c>
      <c r="E30" s="116">
        <v>51.72441870457655</v>
      </c>
      <c r="F30" s="116">
        <v>62.847054884892806</v>
      </c>
      <c r="G30" s="116">
        <v>64.798632902412294</v>
      </c>
      <c r="H30" s="116">
        <v>72.811391424745437</v>
      </c>
      <c r="I30" s="116">
        <v>56.686007020684244</v>
      </c>
      <c r="J30" s="116">
        <v>63.941633489564374</v>
      </c>
      <c r="K30" s="116">
        <v>75.514279269097329</v>
      </c>
      <c r="L30" s="116">
        <v>28.993313878158961</v>
      </c>
      <c r="M30" s="116">
        <v>89.489280875823368</v>
      </c>
      <c r="N30" s="116">
        <v>12.4882717798799</v>
      </c>
      <c r="O30" s="116">
        <v>99.893235957660124</v>
      </c>
      <c r="P30" s="5">
        <f t="shared" si="0"/>
        <v>734.47109837094422</v>
      </c>
      <c r="Q30" s="5"/>
    </row>
    <row r="31" spans="1:18">
      <c r="A31" s="8">
        <f t="shared" si="1"/>
        <v>20</v>
      </c>
      <c r="B31" s="212">
        <v>8800</v>
      </c>
      <c r="C31" s="5" t="s">
        <v>303</v>
      </c>
      <c r="D31" s="116">
        <v>45.81368014339472</v>
      </c>
      <c r="E31" s="116">
        <v>40.103198435586464</v>
      </c>
      <c r="F31" s="116">
        <v>59.358833228563022</v>
      </c>
      <c r="G31" s="116">
        <v>48.649024452875622</v>
      </c>
      <c r="H31" s="116">
        <v>45.111800112604683</v>
      </c>
      <c r="I31" s="116">
        <v>62.425843899247646</v>
      </c>
      <c r="J31" s="116">
        <v>42.221944945934013</v>
      </c>
      <c r="K31" s="116">
        <v>75.016584643669106</v>
      </c>
      <c r="L31" s="116">
        <v>45.726111016051902</v>
      </c>
      <c r="M31" s="116">
        <v>49.003877749065268</v>
      </c>
      <c r="N31" s="116">
        <v>39.21016432684879</v>
      </c>
      <c r="O31" s="116">
        <v>54.650791018153157</v>
      </c>
      <c r="P31" s="5">
        <f t="shared" si="0"/>
        <v>607.29185397199444</v>
      </c>
      <c r="Q31" s="5"/>
    </row>
    <row r="32" spans="1:18">
      <c r="A32" s="8">
        <f t="shared" si="1"/>
        <v>21</v>
      </c>
      <c r="B32" s="212">
        <v>8810</v>
      </c>
      <c r="C32" s="5" t="s">
        <v>304</v>
      </c>
      <c r="D32" s="116">
        <v>22636.574905593472</v>
      </c>
      <c r="E32" s="116">
        <v>22513.460272626606</v>
      </c>
      <c r="F32" s="116">
        <v>22533.915455674061</v>
      </c>
      <c r="G32" s="116">
        <v>23450.137196341326</v>
      </c>
      <c r="H32" s="116">
        <v>22377.092385643569</v>
      </c>
      <c r="I32" s="116">
        <v>22730.796592505816</v>
      </c>
      <c r="J32" s="116">
        <v>23039.627241557715</v>
      </c>
      <c r="K32" s="116">
        <v>23419.940232367524</v>
      </c>
      <c r="L32" s="116">
        <v>23178.637256351038</v>
      </c>
      <c r="M32" s="116">
        <v>23603.082304585743</v>
      </c>
      <c r="N32" s="116">
        <v>22703.054250497698</v>
      </c>
      <c r="O32" s="116">
        <v>22823.228450901508</v>
      </c>
      <c r="P32" s="5">
        <f t="shared" si="0"/>
        <v>275009.54654464609</v>
      </c>
      <c r="Q32" s="5"/>
      <c r="R32" s="212"/>
    </row>
    <row r="33" spans="1:18">
      <c r="A33" s="8">
        <f t="shared" si="1"/>
        <v>22</v>
      </c>
      <c r="B33" s="212">
        <v>9010</v>
      </c>
      <c r="C33" s="9" t="s">
        <v>314</v>
      </c>
      <c r="D33" s="116">
        <v>1805.6911196453659</v>
      </c>
      <c r="E33" s="116">
        <v>1951.6249642302364</v>
      </c>
      <c r="F33" s="116">
        <v>1832.8794173703373</v>
      </c>
      <c r="G33" s="116">
        <v>1891.2930107854086</v>
      </c>
      <c r="H33" s="116">
        <v>1964.8625946454281</v>
      </c>
      <c r="I33" s="116">
        <v>1761.3954513065096</v>
      </c>
      <c r="J33" s="116">
        <v>1930.3869147595242</v>
      </c>
      <c r="K33" s="116">
        <v>2003.8298717070131</v>
      </c>
      <c r="L33" s="116">
        <v>1854.6714128168976</v>
      </c>
      <c r="M33" s="116">
        <v>2023.5391216834253</v>
      </c>
      <c r="N33" s="116">
        <v>1757.9104520455489</v>
      </c>
      <c r="O33" s="116">
        <v>1958.7043873072273</v>
      </c>
      <c r="P33" s="5">
        <f t="shared" si="0"/>
        <v>22736.788718302923</v>
      </c>
      <c r="Q33" s="5"/>
      <c r="R33" s="212"/>
    </row>
    <row r="34" spans="1:18">
      <c r="A34" s="8">
        <f t="shared" si="1"/>
        <v>23</v>
      </c>
      <c r="B34" s="212">
        <v>9020</v>
      </c>
      <c r="C34" s="9" t="s">
        <v>315</v>
      </c>
      <c r="D34" s="116">
        <v>-89.418526803043477</v>
      </c>
      <c r="E34" s="116">
        <v>-74.825582248838657</v>
      </c>
      <c r="F34" s="116">
        <v>-71.859958444237321</v>
      </c>
      <c r="G34" s="116">
        <v>-72.387080731196988</v>
      </c>
      <c r="H34" s="116">
        <v>-72.670124079146035</v>
      </c>
      <c r="I34" s="116">
        <v>-92.680469732564774</v>
      </c>
      <c r="J34" s="116">
        <v>-71.971528985756137</v>
      </c>
      <c r="K34" s="116">
        <v>-73.643793196090783</v>
      </c>
      <c r="L34" s="116">
        <v>-75.091798853546521</v>
      </c>
      <c r="M34" s="116">
        <v>-79.121571543712832</v>
      </c>
      <c r="N34" s="116">
        <v>-76.176891476504665</v>
      </c>
      <c r="O34" s="116">
        <v>-78.85467269425979</v>
      </c>
      <c r="P34" s="5">
        <f t="shared" si="0"/>
        <v>-928.70199878889787</v>
      </c>
      <c r="Q34" s="5"/>
      <c r="R34" s="212"/>
    </row>
    <row r="35" spans="1:18">
      <c r="A35" s="8">
        <f t="shared" si="1"/>
        <v>24</v>
      </c>
      <c r="B35" s="212">
        <v>9030</v>
      </c>
      <c r="C35" s="5" t="s">
        <v>316</v>
      </c>
      <c r="D35" s="116">
        <v>362213.71910749667</v>
      </c>
      <c r="E35" s="116">
        <v>318244.17642645363</v>
      </c>
      <c r="F35" s="116">
        <v>302626.57183763711</v>
      </c>
      <c r="G35" s="116">
        <v>307187.27779892366</v>
      </c>
      <c r="H35" s="116">
        <v>310921.75353640475</v>
      </c>
      <c r="I35" s="116">
        <v>370510.27305567672</v>
      </c>
      <c r="J35" s="116">
        <v>307622.36908867885</v>
      </c>
      <c r="K35" s="116">
        <v>313295.57009283517</v>
      </c>
      <c r="L35" s="116">
        <v>315354.77259455703</v>
      </c>
      <c r="M35" s="116">
        <v>334764.76170207036</v>
      </c>
      <c r="N35" s="116">
        <v>316176.10992187692</v>
      </c>
      <c r="O35" s="116">
        <v>330982.0167252089</v>
      </c>
      <c r="P35" s="5">
        <f t="shared" si="0"/>
        <v>3889899.3718878198</v>
      </c>
      <c r="Q35" s="5"/>
      <c r="R35" s="212"/>
    </row>
    <row r="36" spans="1:18">
      <c r="A36" s="8">
        <f t="shared" si="1"/>
        <v>25</v>
      </c>
      <c r="B36" s="212">
        <v>9100</v>
      </c>
      <c r="C36" s="5" t="s">
        <v>319</v>
      </c>
      <c r="D36" s="116">
        <v>129.95579600306419</v>
      </c>
      <c r="E36" s="116">
        <v>202.5173264555884</v>
      </c>
      <c r="F36" s="116">
        <v>96.246543732494999</v>
      </c>
      <c r="G36" s="116">
        <v>102.05258633769314</v>
      </c>
      <c r="H36" s="116">
        <v>122.52359139749251</v>
      </c>
      <c r="I36" s="116">
        <v>121.55091465295459</v>
      </c>
      <c r="J36" s="116">
        <v>103.84502342344136</v>
      </c>
      <c r="K36" s="116">
        <v>102.59100089985874</v>
      </c>
      <c r="L36" s="116">
        <v>93.093067977990714</v>
      </c>
      <c r="M36" s="116">
        <v>96.303385641379975</v>
      </c>
      <c r="N36" s="116">
        <v>127.9802479586352</v>
      </c>
      <c r="O36" s="116">
        <v>99.098057264286282</v>
      </c>
      <c r="P36" s="5">
        <f t="shared" si="0"/>
        <v>1397.7575417448802</v>
      </c>
      <c r="Q36" s="5"/>
      <c r="R36" s="212"/>
    </row>
    <row r="37" spans="1:18">
      <c r="A37" s="8">
        <f t="shared" si="1"/>
        <v>26</v>
      </c>
      <c r="B37" s="212">
        <v>9110</v>
      </c>
      <c r="C37" s="5" t="s">
        <v>320</v>
      </c>
      <c r="D37" s="116">
        <v>9719.4268926922996</v>
      </c>
      <c r="E37" s="116">
        <v>9878.9403253874407</v>
      </c>
      <c r="F37" s="116">
        <v>10582.135111526617</v>
      </c>
      <c r="G37" s="116">
        <v>10159.029728322921</v>
      </c>
      <c r="H37" s="116">
        <v>10243.952161814912</v>
      </c>
      <c r="I37" s="116">
        <v>10601.143973816734</v>
      </c>
      <c r="J37" s="116">
        <v>9886.1189447600318</v>
      </c>
      <c r="K37" s="116">
        <v>12285.133421482878</v>
      </c>
      <c r="L37" s="116">
        <v>9808.9413147047053</v>
      </c>
      <c r="M37" s="116">
        <v>10521.738670215535</v>
      </c>
      <c r="N37" s="116">
        <v>9080.8642044271346</v>
      </c>
      <c r="O37" s="116">
        <v>10807.253893755014</v>
      </c>
      <c r="P37" s="5">
        <f t="shared" si="0"/>
        <v>123574.67864290622</v>
      </c>
      <c r="Q37" s="5"/>
      <c r="R37" s="212"/>
    </row>
    <row r="38" spans="1:18">
      <c r="A38" s="8">
        <f t="shared" si="1"/>
        <v>27</v>
      </c>
      <c r="B38" s="212">
        <v>9120</v>
      </c>
      <c r="C38" s="5" t="s">
        <v>321</v>
      </c>
      <c r="D38" s="116">
        <v>84.986240991391455</v>
      </c>
      <c r="E38" s="116">
        <v>132.43877410962966</v>
      </c>
      <c r="F38" s="116">
        <v>62.941647943470343</v>
      </c>
      <c r="G38" s="116">
        <v>66.738583141651276</v>
      </c>
      <c r="H38" s="116">
        <v>80.125856528881215</v>
      </c>
      <c r="I38" s="116">
        <v>79.489762235587264</v>
      </c>
      <c r="J38" s="116">
        <v>67.910770106884542</v>
      </c>
      <c r="K38" s="116">
        <v>67.090686173149791</v>
      </c>
      <c r="L38" s="116">
        <v>60.87939247910851</v>
      </c>
      <c r="M38" s="116">
        <v>62.978820430696658</v>
      </c>
      <c r="N38" s="116">
        <v>83.694306292380759</v>
      </c>
      <c r="O38" s="116">
        <v>64.806431382581536</v>
      </c>
      <c r="P38" s="5">
        <f t="shared" si="0"/>
        <v>914.08127181541306</v>
      </c>
      <c r="Q38" s="5"/>
    </row>
    <row r="39" spans="1:18">
      <c r="A39" s="8">
        <f t="shared" si="1"/>
        <v>28</v>
      </c>
      <c r="B39" s="212">
        <v>9130</v>
      </c>
      <c r="C39" s="5" t="s">
        <v>322</v>
      </c>
      <c r="D39" s="116">
        <v>64.296932298398531</v>
      </c>
      <c r="E39" s="116">
        <v>100.19747659473856</v>
      </c>
      <c r="F39" s="116">
        <v>47.618941952978929</v>
      </c>
      <c r="G39" s="116">
        <v>50.491539711521689</v>
      </c>
      <c r="H39" s="116">
        <v>60.619774595166739</v>
      </c>
      <c r="I39" s="116">
        <v>60.138533029070629</v>
      </c>
      <c r="J39" s="116">
        <v>51.378365920864248</v>
      </c>
      <c r="K39" s="116">
        <v>50.757925711352108</v>
      </c>
      <c r="L39" s="116">
        <v>46.05872822394123</v>
      </c>
      <c r="M39" s="116">
        <v>47.647065056985795</v>
      </c>
      <c r="N39" s="116">
        <v>63.319510107379912</v>
      </c>
      <c r="O39" s="116">
        <v>49.029756846508022</v>
      </c>
      <c r="P39" s="5">
        <f t="shared" si="0"/>
        <v>691.55455004890632</v>
      </c>
      <c r="Q39" s="5"/>
      <c r="R39" s="212"/>
    </row>
    <row r="40" spans="1:18">
      <c r="A40" s="8">
        <f t="shared" si="1"/>
        <v>29</v>
      </c>
      <c r="B40" s="212">
        <v>9200</v>
      </c>
      <c r="C40" s="5" t="s">
        <v>323</v>
      </c>
      <c r="D40" s="116">
        <v>10841.401934126989</v>
      </c>
      <c r="E40" s="116">
        <v>9041.2160061607592</v>
      </c>
      <c r="F40" s="116">
        <v>8689.2180893282748</v>
      </c>
      <c r="G40" s="116">
        <v>8865.1823806848934</v>
      </c>
      <c r="H40" s="116">
        <v>8791.1542297364103</v>
      </c>
      <c r="I40" s="116">
        <v>11357.636835191708</v>
      </c>
      <c r="J40" s="116">
        <v>9231.9994590432507</v>
      </c>
      <c r="K40" s="116">
        <v>8908.3813391689655</v>
      </c>
      <c r="L40" s="116">
        <v>8869.8966534767424</v>
      </c>
      <c r="M40" s="116">
        <v>9563.8415000939422</v>
      </c>
      <c r="N40" s="116">
        <v>9215.157642332204</v>
      </c>
      <c r="O40" s="116">
        <v>9504.7422151406536</v>
      </c>
      <c r="P40" s="5">
        <f t="shared" si="0"/>
        <v>112879.82828448479</v>
      </c>
      <c r="Q40" s="5"/>
      <c r="R40" s="212"/>
    </row>
    <row r="41" spans="1:18">
      <c r="A41" s="8">
        <f t="shared" si="1"/>
        <v>30</v>
      </c>
      <c r="B41" s="212">
        <v>9210</v>
      </c>
      <c r="C41" s="5" t="s">
        <v>324</v>
      </c>
      <c r="D41" s="116">
        <v>296.00803409968876</v>
      </c>
      <c r="E41" s="116">
        <v>315.41737452202017</v>
      </c>
      <c r="F41" s="116">
        <v>333.94444970182894</v>
      </c>
      <c r="G41" s="116">
        <v>289.63380799379831</v>
      </c>
      <c r="H41" s="116">
        <v>287.74261613115681</v>
      </c>
      <c r="I41" s="116">
        <v>366.19198438816989</v>
      </c>
      <c r="J41" s="116">
        <v>261.16839866612747</v>
      </c>
      <c r="K41" s="116">
        <v>411.65701625794969</v>
      </c>
      <c r="L41" s="116">
        <v>270.19209505575674</v>
      </c>
      <c r="M41" s="116">
        <v>285.13209357848677</v>
      </c>
      <c r="N41" s="116">
        <v>263.91915316369517</v>
      </c>
      <c r="O41" s="116">
        <v>315.91400122253521</v>
      </c>
      <c r="P41" s="5">
        <f t="shared" si="0"/>
        <v>3696.9210247812143</v>
      </c>
      <c r="Q41" s="5"/>
      <c r="R41" s="212"/>
    </row>
    <row r="42" spans="1:18">
      <c r="A42" s="8">
        <f t="shared" si="1"/>
        <v>31</v>
      </c>
      <c r="B42" s="212">
        <v>9220</v>
      </c>
      <c r="C42" s="5" t="s">
        <v>325</v>
      </c>
      <c r="D42" s="116">
        <f t="shared" ref="D42:O42" si="2">-(SUM(D12:D41,D43:D48))</f>
        <v>-964767.74610000011</v>
      </c>
      <c r="E42" s="116">
        <f t="shared" si="2"/>
        <v>-1027879.2406999997</v>
      </c>
      <c r="F42" s="116">
        <f t="shared" si="2"/>
        <v>-904057.30799999973</v>
      </c>
      <c r="G42" s="116">
        <f t="shared" si="2"/>
        <v>-1001650.8632</v>
      </c>
      <c r="H42" s="116">
        <f t="shared" si="2"/>
        <v>-857469.34970000002</v>
      </c>
      <c r="I42" s="116">
        <f t="shared" si="2"/>
        <v>-934151.79590000014</v>
      </c>
      <c r="J42" s="116">
        <f t="shared" si="2"/>
        <v>-892708.49933869124</v>
      </c>
      <c r="K42" s="116">
        <f t="shared" si="2"/>
        <v>-965621.16813869157</v>
      </c>
      <c r="L42" s="116">
        <f t="shared" si="2"/>
        <v>-921858.61508549622</v>
      </c>
      <c r="M42" s="116">
        <f t="shared" si="2"/>
        <v>-1016466.980780595</v>
      </c>
      <c r="N42" s="116">
        <f t="shared" si="2"/>
        <v>-930601.72984359309</v>
      </c>
      <c r="O42" s="116">
        <f t="shared" si="2"/>
        <v>-992136.77913869149</v>
      </c>
      <c r="P42" s="5">
        <f t="shared" si="0"/>
        <v>-11409370.075925758</v>
      </c>
      <c r="Q42" s="5"/>
    </row>
    <row r="43" spans="1:18">
      <c r="A43" s="8">
        <f t="shared" si="1"/>
        <v>32</v>
      </c>
      <c r="B43" s="212">
        <v>9230</v>
      </c>
      <c r="C43" s="5" t="s">
        <v>326</v>
      </c>
      <c r="D43" s="116">
        <v>45562.763239856788</v>
      </c>
      <c r="E43" s="116">
        <v>38127.001306984501</v>
      </c>
      <c r="F43" s="116">
        <v>36615.882525468907</v>
      </c>
      <c r="G43" s="116">
        <v>36884.475051177767</v>
      </c>
      <c r="H43" s="116">
        <v>37028.698373908468</v>
      </c>
      <c r="I43" s="116">
        <v>47224.869949879721</v>
      </c>
      <c r="J43" s="116">
        <v>36672.732737047118</v>
      </c>
      <c r="K43" s="116">
        <v>37524.826604102083</v>
      </c>
      <c r="L43" s="116">
        <v>38262.650646830371</v>
      </c>
      <c r="M43" s="116">
        <v>40316.001172241158</v>
      </c>
      <c r="N43" s="116">
        <v>38815.554167395574</v>
      </c>
      <c r="O43" s="116">
        <v>40180.004197996604</v>
      </c>
      <c r="P43" s="5">
        <f t="shared" si="0"/>
        <v>473215.45997288916</v>
      </c>
      <c r="Q43" s="5"/>
    </row>
    <row r="44" spans="1:18">
      <c r="A44" s="8">
        <f t="shared" si="1"/>
        <v>33</v>
      </c>
      <c r="B44" s="212">
        <v>9240</v>
      </c>
      <c r="C44" s="5" t="s">
        <v>327</v>
      </c>
      <c r="D44" s="116">
        <v>-15824.776121374758</v>
      </c>
      <c r="E44" s="116">
        <v>-15663.944049953556</v>
      </c>
      <c r="F44" s="116">
        <v>-16093.745995802801</v>
      </c>
      <c r="G44" s="116">
        <v>-15715.263685278842</v>
      </c>
      <c r="H44" s="116">
        <v>-15830.732864760728</v>
      </c>
      <c r="I44" s="116">
        <v>-17130.677555991333</v>
      </c>
      <c r="J44" s="116">
        <v>-15235.058526163692</v>
      </c>
      <c r="K44" s="116">
        <v>-15471.953628513438</v>
      </c>
      <c r="L44" s="116">
        <v>-15767.957953693192</v>
      </c>
      <c r="M44" s="116">
        <v>-15445.835599821106</v>
      </c>
      <c r="N44" s="116">
        <v>-15445.835599821106</v>
      </c>
      <c r="O44" s="116">
        <v>-15717.554740427289</v>
      </c>
      <c r="P44" s="5">
        <f t="shared" si="0"/>
        <v>-189343.33632160188</v>
      </c>
      <c r="Q44" s="5"/>
      <c r="R44" s="212"/>
    </row>
    <row r="45" spans="1:18">
      <c r="A45" s="8">
        <f t="shared" si="1"/>
        <v>34</v>
      </c>
      <c r="B45" s="212">
        <v>9250</v>
      </c>
      <c r="C45" s="5" t="s">
        <v>328</v>
      </c>
      <c r="D45" s="116">
        <v>50882.855319189133</v>
      </c>
      <c r="E45" s="116">
        <v>51747.724004912685</v>
      </c>
      <c r="F45" s="116">
        <v>51453.932184362697</v>
      </c>
      <c r="G45" s="116">
        <v>51253.51107768053</v>
      </c>
      <c r="H45" s="116">
        <v>52101.850033742623</v>
      </c>
      <c r="I45" s="116">
        <v>53053.72260581499</v>
      </c>
      <c r="J45" s="116">
        <v>53214.924643656508</v>
      </c>
      <c r="K45" s="116">
        <v>53717.900349439697</v>
      </c>
      <c r="L45" s="116">
        <v>53404.254827317258</v>
      </c>
      <c r="M45" s="116">
        <v>54604.571982393863</v>
      </c>
      <c r="N45" s="116">
        <v>51778.199178124734</v>
      </c>
      <c r="O45" s="116">
        <v>54239.360655628851</v>
      </c>
      <c r="P45" s="5">
        <f t="shared" si="0"/>
        <v>631452.80686226371</v>
      </c>
      <c r="Q45" s="5"/>
      <c r="R45" s="212"/>
    </row>
    <row r="46" spans="1:18">
      <c r="A46" s="8">
        <f t="shared" si="1"/>
        <v>35</v>
      </c>
      <c r="B46" s="263">
        <v>9260</v>
      </c>
      <c r="C46" s="5" t="s">
        <v>329</v>
      </c>
      <c r="D46" s="116">
        <v>149958.91104249071</v>
      </c>
      <c r="E46" s="116">
        <v>231974.41225895478</v>
      </c>
      <c r="F46" s="116">
        <v>146898.94310775067</v>
      </c>
      <c r="G46" s="116">
        <v>259735.03019309763</v>
      </c>
      <c r="H46" s="116">
        <v>93286.852691979992</v>
      </c>
      <c r="I46" s="116">
        <v>88626.640115348666</v>
      </c>
      <c r="J46" s="116">
        <v>155991.59267847161</v>
      </c>
      <c r="K46" s="116">
        <v>170729.64341638141</v>
      </c>
      <c r="L46" s="116">
        <v>177461.5139111224</v>
      </c>
      <c r="M46" s="116">
        <v>198371.94854639939</v>
      </c>
      <c r="N46" s="116">
        <v>175739.47903471699</v>
      </c>
      <c r="O46" s="116">
        <v>174569.42964761809</v>
      </c>
      <c r="P46" s="5">
        <f t="shared" si="0"/>
        <v>2023344.3966443324</v>
      </c>
      <c r="Q46" s="5"/>
      <c r="R46" s="212"/>
    </row>
    <row r="47" spans="1:18">
      <c r="A47" s="8">
        <f t="shared" si="1"/>
        <v>36</v>
      </c>
      <c r="B47" s="212">
        <v>9302</v>
      </c>
      <c r="C47" s="5" t="s">
        <v>332</v>
      </c>
      <c r="D47" s="116">
        <v>7794.0433374127133</v>
      </c>
      <c r="E47" s="116">
        <v>23190.343099848826</v>
      </c>
      <c r="F47" s="116">
        <v>5760.3524584263196</v>
      </c>
      <c r="G47" s="116">
        <v>9435.3938521344753</v>
      </c>
      <c r="H47" s="116">
        <v>13247.21445540278</v>
      </c>
      <c r="I47" s="116">
        <v>10310.060902742784</v>
      </c>
      <c r="J47" s="116">
        <v>5657.3245986610036</v>
      </c>
      <c r="K47" s="116">
        <v>5801.3027139874739</v>
      </c>
      <c r="L47" s="116">
        <v>7342.588438557339</v>
      </c>
      <c r="M47" s="116">
        <v>7326.114462601684</v>
      </c>
      <c r="N47" s="116">
        <v>5922.3278381685977</v>
      </c>
      <c r="O47" s="116">
        <v>6192.2868044057295</v>
      </c>
      <c r="P47" s="5">
        <f t="shared" si="0"/>
        <v>107979.35296234973</v>
      </c>
      <c r="Q47" s="5"/>
      <c r="R47" s="212"/>
    </row>
    <row r="48" spans="1:18">
      <c r="A48" s="8">
        <f t="shared" si="1"/>
        <v>37</v>
      </c>
      <c r="B48" s="212">
        <v>9310</v>
      </c>
      <c r="C48" s="5" t="s">
        <v>209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5">
        <f t="shared" si="0"/>
        <v>0</v>
      </c>
      <c r="Q48" s="5"/>
    </row>
    <row r="49" spans="1:17">
      <c r="A49" s="8">
        <f t="shared" si="1"/>
        <v>38</v>
      </c>
      <c r="B49" s="5"/>
      <c r="C49" s="246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5"/>
      <c r="P49" s="5"/>
      <c r="Q49" s="196"/>
    </row>
    <row r="50" spans="1:17" ht="15.75" thickBot="1">
      <c r="A50" s="8">
        <f t="shared" si="1"/>
        <v>39</v>
      </c>
      <c r="B50" s="5" t="s">
        <v>334</v>
      </c>
      <c r="C50" s="246"/>
      <c r="D50" s="247">
        <f t="shared" ref="D50:P50" si="3">SUM(D12:D49)</f>
        <v>-7.6397554948925972E-11</v>
      </c>
      <c r="E50" s="247">
        <f t="shared" si="3"/>
        <v>1.964508555829525E-10</v>
      </c>
      <c r="F50" s="247">
        <f t="shared" si="3"/>
        <v>1.1459633242338896E-10</v>
      </c>
      <c r="G50" s="247">
        <f t="shared" si="3"/>
        <v>-2.1827872842550278E-11</v>
      </c>
      <c r="H50" s="247">
        <f t="shared" si="3"/>
        <v>1.8189894035458565E-11</v>
      </c>
      <c r="I50" s="247">
        <f t="shared" si="3"/>
        <v>-1.6370904631912708E-11</v>
      </c>
      <c r="J50" s="247">
        <f t="shared" si="3"/>
        <v>2.0008883439004421E-11</v>
      </c>
      <c r="K50" s="247">
        <f t="shared" si="3"/>
        <v>1.4370016288012266E-10</v>
      </c>
      <c r="L50" s="247">
        <f t="shared" si="3"/>
        <v>8.1854523159563541E-11</v>
      </c>
      <c r="M50" s="247">
        <f t="shared" si="3"/>
        <v>-6.4574123825877905E-11</v>
      </c>
      <c r="N50" s="247">
        <f t="shared" si="3"/>
        <v>-8.5492501966655254E-11</v>
      </c>
      <c r="O50" s="247">
        <f t="shared" si="3"/>
        <v>1.9099388737231493E-11</v>
      </c>
      <c r="P50" s="247">
        <f t="shared" si="3"/>
        <v>1.1204974725842476E-9</v>
      </c>
      <c r="Q50" s="5"/>
    </row>
    <row r="51" spans="1:17" ht="15.75" thickTop="1">
      <c r="A51" s="8">
        <f t="shared" si="1"/>
        <v>40</v>
      </c>
      <c r="B51" s="5"/>
      <c r="C51" s="24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8">
        <f t="shared" si="1"/>
        <v>41</v>
      </c>
      <c r="B52" s="212">
        <f t="shared" ref="B52:O52" si="4">B42</f>
        <v>9220</v>
      </c>
      <c r="C52" s="5" t="str">
        <f t="shared" si="4"/>
        <v>A&amp;G-Administrative expense transferred-Credit</v>
      </c>
      <c r="D52" s="5">
        <f t="shared" si="4"/>
        <v>-964767.74610000011</v>
      </c>
      <c r="E52" s="5">
        <f t="shared" si="4"/>
        <v>-1027879.2406999997</v>
      </c>
      <c r="F52" s="5">
        <f t="shared" si="4"/>
        <v>-904057.30799999973</v>
      </c>
      <c r="G52" s="5">
        <f t="shared" si="4"/>
        <v>-1001650.8632</v>
      </c>
      <c r="H52" s="5">
        <f t="shared" si="4"/>
        <v>-857469.34970000002</v>
      </c>
      <c r="I52" s="5">
        <f t="shared" si="4"/>
        <v>-934151.79590000014</v>
      </c>
      <c r="J52" s="5">
        <f t="shared" si="4"/>
        <v>-892708.49933869124</v>
      </c>
      <c r="K52" s="5">
        <f t="shared" si="4"/>
        <v>-965621.16813869157</v>
      </c>
      <c r="L52" s="5">
        <f t="shared" si="4"/>
        <v>-921858.61508549622</v>
      </c>
      <c r="M52" s="5">
        <f t="shared" si="4"/>
        <v>-1016466.980780595</v>
      </c>
      <c r="N52" s="5">
        <f t="shared" si="4"/>
        <v>-930601.72984359309</v>
      </c>
      <c r="O52" s="5">
        <f t="shared" si="4"/>
        <v>-992136.77913869149</v>
      </c>
      <c r="P52" s="5">
        <f>SUM(D52:O52)</f>
        <v>-11409370.075925758</v>
      </c>
      <c r="Q52" s="5"/>
    </row>
    <row r="53" spans="1:17">
      <c r="A53" s="8">
        <f t="shared" si="1"/>
        <v>42</v>
      </c>
      <c r="B53" s="5"/>
      <c r="C53" s="5" t="s">
        <v>341</v>
      </c>
      <c r="D53" s="250">
        <v>0.5025136071712456</v>
      </c>
      <c r="E53" s="250">
        <f>D53</f>
        <v>0.5025136071712456</v>
      </c>
      <c r="F53" s="250">
        <f t="shared" ref="F53:O53" si="5">E53</f>
        <v>0.5025136071712456</v>
      </c>
      <c r="G53" s="250">
        <f t="shared" si="5"/>
        <v>0.5025136071712456</v>
      </c>
      <c r="H53" s="250">
        <f t="shared" si="5"/>
        <v>0.5025136071712456</v>
      </c>
      <c r="I53" s="250">
        <f t="shared" si="5"/>
        <v>0.5025136071712456</v>
      </c>
      <c r="J53" s="250">
        <f t="shared" si="5"/>
        <v>0.5025136071712456</v>
      </c>
      <c r="K53" s="250">
        <f t="shared" si="5"/>
        <v>0.5025136071712456</v>
      </c>
      <c r="L53" s="250">
        <f t="shared" si="5"/>
        <v>0.5025136071712456</v>
      </c>
      <c r="M53" s="250">
        <f t="shared" si="5"/>
        <v>0.5025136071712456</v>
      </c>
      <c r="N53" s="250">
        <f t="shared" si="5"/>
        <v>0.5025136071712456</v>
      </c>
      <c r="O53" s="250">
        <f t="shared" si="5"/>
        <v>0.5025136071712456</v>
      </c>
      <c r="P53" s="284">
        <f>P54/P52</f>
        <v>0.5025136071712456</v>
      </c>
      <c r="Q53" s="5"/>
    </row>
    <row r="54" spans="1:17">
      <c r="A54" s="8">
        <f t="shared" si="1"/>
        <v>43</v>
      </c>
      <c r="B54" s="5"/>
      <c r="C54" s="5" t="s">
        <v>342</v>
      </c>
      <c r="D54" s="5">
        <f>D52*D53</f>
        <v>-484808.92017518345</v>
      </c>
      <c r="E54" s="5">
        <f t="shared" ref="E54:O54" si="6">E52*E53</f>
        <v>-516523.30498059787</v>
      </c>
      <c r="F54" s="5">
        <f t="shared" si="6"/>
        <v>-454301.09893260564</v>
      </c>
      <c r="G54" s="5">
        <f t="shared" si="6"/>
        <v>-503343.18839282385</v>
      </c>
      <c r="H54" s="5">
        <f t="shared" si="6"/>
        <v>-430890.01595652924</v>
      </c>
      <c r="I54" s="5">
        <f t="shared" si="6"/>
        <v>-469423.98860320629</v>
      </c>
      <c r="J54" s="5">
        <f t="shared" si="6"/>
        <v>-448598.16815511527</v>
      </c>
      <c r="K54" s="5">
        <f t="shared" si="6"/>
        <v>-485237.77636228577</v>
      </c>
      <c r="L54" s="5">
        <f t="shared" si="6"/>
        <v>-463246.49796850153</v>
      </c>
      <c r="M54" s="5">
        <f t="shared" si="6"/>
        <v>-510788.48908252193</v>
      </c>
      <c r="N54" s="5">
        <f t="shared" si="6"/>
        <v>-467640.03210350499</v>
      </c>
      <c r="O54" s="5">
        <f t="shared" si="6"/>
        <v>-498562.23169224529</v>
      </c>
      <c r="P54" s="5">
        <f>SUM(D54:O54)</f>
        <v>-5733363.712405121</v>
      </c>
      <c r="Q54" s="5"/>
    </row>
    <row r="55" spans="1:17">
      <c r="A55" s="5"/>
      <c r="B55" s="5"/>
      <c r="C55" s="246"/>
      <c r="D55" s="264"/>
      <c r="E55" s="5"/>
      <c r="F55" s="5"/>
      <c r="G55" s="5"/>
      <c r="H55" s="5"/>
      <c r="I55" s="5"/>
      <c r="J55" s="190"/>
      <c r="K55" s="190"/>
      <c r="L55" s="190"/>
      <c r="M55" s="190"/>
      <c r="N55" s="190"/>
      <c r="O55" s="190"/>
      <c r="P55" s="190"/>
      <c r="Q55" s="5"/>
    </row>
    <row r="56" spans="1:17">
      <c r="A56" s="5"/>
      <c r="B56" s="5"/>
      <c r="C56" s="246"/>
      <c r="D56" s="5"/>
      <c r="E56" s="5"/>
      <c r="F56" s="5"/>
      <c r="G56" s="5"/>
      <c r="H56" s="5"/>
      <c r="I56" s="5"/>
      <c r="J56" s="5"/>
      <c r="K56" s="5"/>
      <c r="L56" s="5"/>
      <c r="M56" s="5"/>
      <c r="N56" s="190"/>
      <c r="O56" s="190"/>
      <c r="P56" s="5"/>
      <c r="Q56" s="5"/>
    </row>
    <row r="57" spans="1:17">
      <c r="A57" s="5"/>
      <c r="B57" s="5" t="s">
        <v>343</v>
      </c>
      <c r="C57" s="246"/>
      <c r="D57" s="5"/>
      <c r="E57" s="5"/>
      <c r="F57" s="5"/>
      <c r="G57" s="5"/>
      <c r="H57" s="5"/>
      <c r="I57" s="5"/>
      <c r="J57" s="5"/>
      <c r="K57" s="5"/>
      <c r="L57" s="5"/>
      <c r="M57" s="5"/>
      <c r="N57" s="190"/>
      <c r="O57" s="190"/>
      <c r="P57" s="5"/>
      <c r="Q57" s="5"/>
    </row>
    <row r="58" spans="1:17">
      <c r="A58" s="5"/>
      <c r="B58" s="5"/>
      <c r="C58" s="246"/>
      <c r="D58" s="5"/>
      <c r="E58" s="5"/>
      <c r="F58" s="5"/>
      <c r="G58" s="5"/>
      <c r="H58" s="5"/>
      <c r="I58" s="5"/>
      <c r="J58" s="5"/>
      <c r="K58" s="5"/>
      <c r="L58" s="5"/>
      <c r="M58" s="5"/>
      <c r="N58" s="190"/>
      <c r="O58" s="190"/>
      <c r="P58" s="5"/>
      <c r="Q58" s="5"/>
    </row>
    <row r="59" spans="1:17">
      <c r="A59" s="5"/>
      <c r="B59" s="5"/>
      <c r="C59" s="19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5"/>
      <c r="B62" s="5" t="s">
        <v>337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5"/>
      <c r="B63" s="5" t="s">
        <v>338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52"/>
      <c r="P63" s="5"/>
      <c r="Q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95"/>
      <c r="P64" s="5"/>
      <c r="Q64" s="5"/>
    </row>
    <row r="65" spans="1:1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95"/>
      <c r="P65" s="5"/>
      <c r="Q65" s="5"/>
    </row>
    <row r="66" spans="1:1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5"/>
      <c r="Q67" s="5"/>
    </row>
    <row r="68" spans="1:17">
      <c r="A68" s="5"/>
      <c r="Q68" s="5"/>
    </row>
    <row r="69" spans="1:17">
      <c r="Q69" s="5"/>
    </row>
    <row r="70" spans="1:17">
      <c r="Q70" s="5"/>
    </row>
    <row r="71" spans="1:17">
      <c r="Q71" s="5"/>
    </row>
    <row r="72" spans="1:17">
      <c r="Q72" s="5"/>
    </row>
    <row r="73" spans="1:17">
      <c r="Q73" s="5"/>
    </row>
    <row r="74" spans="1:17">
      <c r="Q74" s="5"/>
    </row>
    <row r="75" spans="1:17">
      <c r="Q75" s="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50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E14" sqref="E14"/>
      <selection pane="topRight" activeCell="E14" sqref="E14"/>
      <selection pane="bottomLeft" activeCell="E14" sqref="E14"/>
      <selection pane="bottomRight" sqref="A1:O1"/>
    </sheetView>
  </sheetViews>
  <sheetFormatPr defaultRowHeight="15"/>
  <cols>
    <col min="1" max="1" width="4.6640625" style="5" customWidth="1"/>
    <col min="2" max="2" width="40.6640625" style="5" customWidth="1"/>
    <col min="3" max="3" width="9.5546875" style="5" bestFit="1" customWidth="1"/>
    <col min="4" max="4" width="10.6640625" style="5" customWidth="1"/>
    <col min="5" max="5" width="11.33203125" style="5" customWidth="1"/>
    <col min="6" max="6" width="12.33203125" style="5" customWidth="1"/>
    <col min="7" max="7" width="10.88671875" style="5" customWidth="1"/>
    <col min="8" max="8" width="11.77734375" style="5" customWidth="1"/>
    <col min="9" max="9" width="10.33203125" style="5" customWidth="1"/>
    <col min="10" max="14" width="9.6640625" style="5" customWidth="1"/>
    <col min="15" max="15" width="13.77734375" style="5" customWidth="1"/>
    <col min="16" max="16" width="9.77734375" style="5" bestFit="1" customWidth="1"/>
    <col min="17" max="17" width="11.44140625" style="5" bestFit="1" customWidth="1"/>
    <col min="18" max="16384" width="8.88671875" style="5"/>
  </cols>
  <sheetData>
    <row r="1" spans="1:19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9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9">
      <c r="A3" s="308" t="s">
        <v>352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9">
      <c r="A4" s="308" t="s">
        <v>386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Q4" s="216"/>
    </row>
    <row r="5" spans="1:19">
      <c r="B5" s="238"/>
      <c r="C5" s="238"/>
      <c r="D5" s="238"/>
      <c r="E5" s="238"/>
      <c r="F5" s="239"/>
      <c r="G5" s="238"/>
      <c r="H5" s="238"/>
      <c r="I5" s="238"/>
      <c r="J5" s="196"/>
      <c r="K5" s="216"/>
      <c r="Q5" s="285"/>
    </row>
    <row r="6" spans="1:19">
      <c r="A6" s="194" t="str">
        <f>'C.2.1 B'!A6</f>
        <v>Data:___X____Base Period________Forecasted Period</v>
      </c>
      <c r="I6" s="238"/>
      <c r="M6" s="190"/>
      <c r="O6" s="195" t="s">
        <v>353</v>
      </c>
    </row>
    <row r="7" spans="1:19">
      <c r="A7" s="194" t="str">
        <f>'C.2.1 B'!A7</f>
        <v>Type of Filing:___X____Original________Updated ________Revised</v>
      </c>
      <c r="E7" s="196"/>
      <c r="I7" s="238"/>
      <c r="J7" s="196"/>
      <c r="M7" s="190"/>
      <c r="N7" s="271"/>
      <c r="O7" s="197" t="s">
        <v>354</v>
      </c>
    </row>
    <row r="8" spans="1:19">
      <c r="A8" s="198" t="str">
        <f>'C.2.1 B'!A8</f>
        <v>Workpaper Reference No(s).____________________</v>
      </c>
      <c r="B8" s="199"/>
      <c r="C8" s="200"/>
      <c r="D8" s="200"/>
      <c r="E8" s="200"/>
      <c r="F8" s="200"/>
      <c r="G8" s="200"/>
      <c r="H8" s="200"/>
      <c r="I8" s="238"/>
      <c r="J8" s="200"/>
      <c r="K8" s="199"/>
      <c r="L8" s="199"/>
      <c r="M8" s="199"/>
      <c r="N8" s="286"/>
      <c r="O8" s="201" t="s">
        <v>355</v>
      </c>
    </row>
    <row r="9" spans="1:19">
      <c r="A9" s="277" t="s">
        <v>21</v>
      </c>
      <c r="C9" s="156" t="str">
        <f>'C.2.2 B 09'!D9</f>
        <v>actual</v>
      </c>
      <c r="D9" s="156" t="str">
        <f>'C.2.2 B 09'!E9</f>
        <v>actual</v>
      </c>
      <c r="E9" s="156" t="str">
        <f>'C.2.2 B 09'!F9</f>
        <v>actual</v>
      </c>
      <c r="F9" s="156" t="str">
        <f>'C.2.2 B 09'!G9</f>
        <v>actual</v>
      </c>
      <c r="G9" s="156" t="str">
        <f>'C.2.2 B 09'!H9</f>
        <v>actual</v>
      </c>
      <c r="H9" s="156" t="str">
        <f>'C.2.2 B 09'!I9</f>
        <v>actual</v>
      </c>
      <c r="I9" s="287" t="str">
        <f>'C.2.2 B 09'!J9</f>
        <v>Forecasted</v>
      </c>
      <c r="J9" s="156" t="str">
        <f>'C.2.2 B 09'!K9</f>
        <v>Forecasted</v>
      </c>
      <c r="K9" s="156" t="str">
        <f>'C.2.2 B 09'!L9</f>
        <v>Forecasted</v>
      </c>
      <c r="L9" s="156" t="str">
        <f>'C.2.2 B 09'!M9</f>
        <v>Budgeted</v>
      </c>
      <c r="M9" s="156" t="str">
        <f>'C.2.2 B 09'!N9</f>
        <v>Budgeted</v>
      </c>
      <c r="N9" s="156" t="str">
        <f>'C.2.2 B 09'!O9</f>
        <v>Budgeted</v>
      </c>
      <c r="O9" s="243"/>
    </row>
    <row r="10" spans="1:19">
      <c r="A10" s="280" t="s">
        <v>24</v>
      </c>
      <c r="B10" s="286" t="s">
        <v>356</v>
      </c>
      <c r="C10" s="244">
        <f>'C.2.2 B 09'!D10</f>
        <v>42736</v>
      </c>
      <c r="D10" s="244">
        <f>'C.2.2 B 09'!E10</f>
        <v>42767</v>
      </c>
      <c r="E10" s="244">
        <f>'C.2.2 B 09'!F10</f>
        <v>42795</v>
      </c>
      <c r="F10" s="244">
        <f>'C.2.2 B 09'!G10</f>
        <v>42826</v>
      </c>
      <c r="G10" s="244">
        <f>'C.2.2 B 09'!H10</f>
        <v>42856</v>
      </c>
      <c r="H10" s="244">
        <f>'C.2.2 B 09'!I10</f>
        <v>42887</v>
      </c>
      <c r="I10" s="244">
        <f>'C.2.2 B 09'!J10</f>
        <v>42917</v>
      </c>
      <c r="J10" s="244">
        <f>'C.2.2 B 09'!K10</f>
        <v>42948</v>
      </c>
      <c r="K10" s="244">
        <f>'C.2.2 B 09'!L10</f>
        <v>42979</v>
      </c>
      <c r="L10" s="244">
        <f>'C.2.2 B 09'!M10</f>
        <v>43009</v>
      </c>
      <c r="M10" s="244">
        <f>'C.2.2 B 09'!N10</f>
        <v>43040</v>
      </c>
      <c r="N10" s="244">
        <f>'C.2.2 B 09'!O10</f>
        <v>43070</v>
      </c>
      <c r="O10" s="244" t="str">
        <f>'C.2.2 B 09'!P10</f>
        <v>Total</v>
      </c>
      <c r="P10" s="256"/>
    </row>
    <row r="11" spans="1:19" ht="15.75">
      <c r="B11" s="288" t="s">
        <v>357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9">
      <c r="A12" s="8">
        <v>1</v>
      </c>
      <c r="B12" s="5" t="s">
        <v>358</v>
      </c>
      <c r="C12" s="289">
        <v>33474.340000000004</v>
      </c>
      <c r="D12" s="289">
        <v>25321.230000000003</v>
      </c>
      <c r="E12" s="289">
        <v>39053.539999999994</v>
      </c>
      <c r="F12" s="289">
        <v>21058.19</v>
      </c>
      <c r="G12" s="289">
        <v>21412.68</v>
      </c>
      <c r="H12" s="289">
        <v>20019.219999999994</v>
      </c>
      <c r="I12" s="289">
        <v>40601.718864485592</v>
      </c>
      <c r="J12" s="289">
        <v>15608.958704531018</v>
      </c>
      <c r="K12" s="289">
        <v>43260.915184325546</v>
      </c>
      <c r="L12" s="289">
        <v>20682.961310440078</v>
      </c>
      <c r="M12" s="289">
        <v>65700.187412063271</v>
      </c>
      <c r="N12" s="289">
        <v>11722.963207230254</v>
      </c>
      <c r="O12" s="289">
        <f>SUM(C12:N12)</f>
        <v>357916.90468307579</v>
      </c>
      <c r="P12" s="290"/>
      <c r="Q12" s="216"/>
      <c r="R12" s="196"/>
    </row>
    <row r="13" spans="1:19">
      <c r="A13" s="8">
        <f>A12+1</f>
        <v>2</v>
      </c>
      <c r="B13" s="5" t="s">
        <v>359</v>
      </c>
      <c r="C13" s="289">
        <v>3150.3100000000004</v>
      </c>
      <c r="D13" s="289">
        <v>26.650000000000205</v>
      </c>
      <c r="E13" s="289">
        <v>-325.63000000000005</v>
      </c>
      <c r="F13" s="289">
        <v>-3.5399999999999991</v>
      </c>
      <c r="G13" s="289">
        <v>27.099999999999998</v>
      </c>
      <c r="H13" s="289">
        <v>5.23</v>
      </c>
      <c r="I13" s="289">
        <v>729.31524253571342</v>
      </c>
      <c r="J13" s="289">
        <v>280.37856085158143</v>
      </c>
      <c r="K13" s="289">
        <v>777.08150621108064</v>
      </c>
      <c r="L13" s="289">
        <v>371.52119088422967</v>
      </c>
      <c r="M13" s="289">
        <v>1180.1507290121922</v>
      </c>
      <c r="N13" s="289">
        <v>210.57570944851918</v>
      </c>
      <c r="O13" s="5">
        <f t="shared" ref="O13:O22" si="0">SUM(C13:N13)</f>
        <v>6429.1429389433169</v>
      </c>
      <c r="P13" s="290"/>
    </row>
    <row r="14" spans="1:19">
      <c r="A14" s="8">
        <f t="shared" ref="A14:A67" si="1">A13+1</f>
        <v>3</v>
      </c>
      <c r="B14" s="5" t="s">
        <v>360</v>
      </c>
      <c r="C14" s="289">
        <v>3217.2799999999997</v>
      </c>
      <c r="D14" s="289">
        <v>939</v>
      </c>
      <c r="E14" s="289">
        <v>-2302.87</v>
      </c>
      <c r="F14" s="289">
        <v>238.95999999999998</v>
      </c>
      <c r="G14" s="289">
        <v>15.780000000000001</v>
      </c>
      <c r="H14" s="289">
        <v>4.4699999999999989</v>
      </c>
      <c r="I14" s="289">
        <v>534.9658929786948</v>
      </c>
      <c r="J14" s="289">
        <v>205.66273461740062</v>
      </c>
      <c r="K14" s="289">
        <v>570.00330946337408</v>
      </c>
      <c r="L14" s="289">
        <v>272.51749867569447</v>
      </c>
      <c r="M14" s="289">
        <v>865.66185892453689</v>
      </c>
      <c r="N14" s="289">
        <v>154.46108332122637</v>
      </c>
      <c r="O14" s="5">
        <f t="shared" si="0"/>
        <v>4715.8923779809274</v>
      </c>
      <c r="P14" s="290"/>
    </row>
    <row r="15" spans="1:19">
      <c r="A15" s="8">
        <f t="shared" si="1"/>
        <v>4</v>
      </c>
      <c r="B15" s="5" t="s">
        <v>361</v>
      </c>
      <c r="C15" s="289">
        <v>0</v>
      </c>
      <c r="D15" s="289">
        <v>12.75</v>
      </c>
      <c r="E15" s="289">
        <v>0</v>
      </c>
      <c r="F15" s="289">
        <v>46.75</v>
      </c>
      <c r="G15" s="289">
        <v>0</v>
      </c>
      <c r="H15" s="289">
        <v>12.75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5">
        <f t="shared" si="0"/>
        <v>72.25</v>
      </c>
      <c r="P15" s="290"/>
    </row>
    <row r="16" spans="1:19">
      <c r="A16" s="8">
        <f t="shared" si="1"/>
        <v>5</v>
      </c>
      <c r="B16" s="5" t="s">
        <v>362</v>
      </c>
      <c r="C16" s="289">
        <v>245588</v>
      </c>
      <c r="D16" s="289">
        <v>245588</v>
      </c>
      <c r="E16" s="289">
        <v>245588</v>
      </c>
      <c r="F16" s="289">
        <v>245588</v>
      </c>
      <c r="G16" s="289">
        <v>245588</v>
      </c>
      <c r="H16" s="289">
        <v>245588</v>
      </c>
      <c r="I16" s="289">
        <v>248199</v>
      </c>
      <c r="J16" s="289">
        <v>248199</v>
      </c>
      <c r="K16" s="289">
        <v>248199</v>
      </c>
      <c r="L16" s="289">
        <v>391500</v>
      </c>
      <c r="M16" s="289">
        <v>391500</v>
      </c>
      <c r="N16" s="289">
        <v>391500</v>
      </c>
      <c r="O16" s="5">
        <f t="shared" si="0"/>
        <v>3392625</v>
      </c>
      <c r="P16" s="290"/>
      <c r="R16" s="282"/>
      <c r="S16" s="282"/>
    </row>
    <row r="17" spans="1:18">
      <c r="A17" s="8">
        <f t="shared" si="1"/>
        <v>6</v>
      </c>
      <c r="B17" s="5" t="s">
        <v>363</v>
      </c>
      <c r="C17" s="289">
        <v>0</v>
      </c>
      <c r="D17" s="289">
        <v>0</v>
      </c>
      <c r="E17" s="289">
        <v>30150.68</v>
      </c>
      <c r="F17" s="289">
        <v>0</v>
      </c>
      <c r="G17" s="289">
        <v>0</v>
      </c>
      <c r="H17" s="289">
        <v>52130.400000000001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5">
        <f t="shared" si="0"/>
        <v>82281.08</v>
      </c>
      <c r="P17" s="290"/>
    </row>
    <row r="18" spans="1:18">
      <c r="A18" s="8">
        <f t="shared" si="1"/>
        <v>7</v>
      </c>
      <c r="B18" s="5" t="s">
        <v>364</v>
      </c>
      <c r="C18" s="289">
        <v>19080.940000000002</v>
      </c>
      <c r="D18" s="289">
        <v>0</v>
      </c>
      <c r="E18" s="289">
        <v>158.94999999999999</v>
      </c>
      <c r="F18" s="289">
        <v>37106.720000000001</v>
      </c>
      <c r="G18" s="289">
        <v>42</v>
      </c>
      <c r="H18" s="289">
        <v>0</v>
      </c>
      <c r="I18" s="289">
        <v>17415</v>
      </c>
      <c r="J18" s="289">
        <v>192</v>
      </c>
      <c r="K18" s="289">
        <v>47279</v>
      </c>
      <c r="L18" s="289">
        <v>12215</v>
      </c>
      <c r="M18" s="289">
        <v>64</v>
      </c>
      <c r="N18" s="289">
        <v>873</v>
      </c>
      <c r="O18" s="5">
        <f t="shared" si="0"/>
        <v>134426.60999999999</v>
      </c>
      <c r="P18" s="290"/>
    </row>
    <row r="19" spans="1:18" ht="17.25" customHeight="1">
      <c r="A19" s="8">
        <f t="shared" si="1"/>
        <v>8</v>
      </c>
      <c r="B19" s="5" t="s">
        <v>365</v>
      </c>
      <c r="C19" s="289">
        <v>27573.13</v>
      </c>
      <c r="D19" s="289">
        <v>27573.13</v>
      </c>
      <c r="E19" s="289">
        <v>27573.13</v>
      </c>
      <c r="F19" s="289">
        <v>27573.13</v>
      </c>
      <c r="G19" s="289">
        <v>27573.13</v>
      </c>
      <c r="H19" s="289">
        <v>27573.09</v>
      </c>
      <c r="I19" s="289">
        <v>25193</v>
      </c>
      <c r="J19" s="289">
        <v>25193</v>
      </c>
      <c r="K19" s="289">
        <v>25193</v>
      </c>
      <c r="L19" s="289">
        <v>24523</v>
      </c>
      <c r="M19" s="289">
        <v>24523</v>
      </c>
      <c r="N19" s="289">
        <v>24523</v>
      </c>
      <c r="O19" s="5">
        <f t="shared" si="0"/>
        <v>314586.74</v>
      </c>
      <c r="P19" s="290"/>
    </row>
    <row r="20" spans="1:18">
      <c r="A20" s="8">
        <f t="shared" si="1"/>
        <v>9</v>
      </c>
      <c r="B20" s="5" t="s">
        <v>366</v>
      </c>
      <c r="C20" s="289">
        <v>16598.849999999999</v>
      </c>
      <c r="D20" s="289">
        <v>15182.25</v>
      </c>
      <c r="E20" s="289">
        <v>12466.42</v>
      </c>
      <c r="F20" s="289">
        <v>10993.38</v>
      </c>
      <c r="G20" s="289">
        <v>15015.51</v>
      </c>
      <c r="H20" s="289">
        <v>10886.26</v>
      </c>
      <c r="I20" s="289">
        <v>9046.8071913007643</v>
      </c>
      <c r="J20" s="289">
        <v>9046.8071913007643</v>
      </c>
      <c r="K20" s="289">
        <v>9046.8071913007643</v>
      </c>
      <c r="L20" s="39">
        <f t="shared" ref="L20:N20" si="2">L52</f>
        <v>9841.2856277506526</v>
      </c>
      <c r="M20" s="39">
        <f t="shared" si="2"/>
        <v>9841.2856277506526</v>
      </c>
      <c r="N20" s="39">
        <f t="shared" si="2"/>
        <v>9841.2856277506526</v>
      </c>
      <c r="O20" s="5">
        <f t="shared" si="0"/>
        <v>137806.94845715421</v>
      </c>
      <c r="P20" s="196"/>
      <c r="Q20" s="196"/>
      <c r="R20" s="216"/>
    </row>
    <row r="21" spans="1:18" ht="15.75">
      <c r="A21" s="8">
        <f t="shared" si="1"/>
        <v>10</v>
      </c>
      <c r="B21" s="5" t="s">
        <v>367</v>
      </c>
      <c r="C21" s="289">
        <v>26372.68</v>
      </c>
      <c r="D21" s="289">
        <v>20039.37</v>
      </c>
      <c r="E21" s="289">
        <v>15692.2</v>
      </c>
      <c r="F21" s="289">
        <v>-105354.85</v>
      </c>
      <c r="G21" s="289">
        <v>142730.79</v>
      </c>
      <c r="H21" s="289">
        <v>15677.17</v>
      </c>
      <c r="I21" s="289">
        <v>12839.193393306026</v>
      </c>
      <c r="J21" s="289">
        <v>12839.193393306026</v>
      </c>
      <c r="K21" s="289">
        <v>12839.193393306026</v>
      </c>
      <c r="L21" s="39">
        <f t="shared" ref="L21:N21" si="3">L39</f>
        <v>14654.660333731223</v>
      </c>
      <c r="M21" s="39">
        <f t="shared" si="3"/>
        <v>14654.660333731223</v>
      </c>
      <c r="N21" s="39">
        <f t="shared" si="3"/>
        <v>14654.660333731223</v>
      </c>
      <c r="O21" s="5">
        <f t="shared" si="0"/>
        <v>197638.92118111171</v>
      </c>
      <c r="P21" s="196"/>
      <c r="Q21" s="196"/>
      <c r="R21" s="276"/>
    </row>
    <row r="22" spans="1:18">
      <c r="A22" s="8">
        <f t="shared" si="1"/>
        <v>11</v>
      </c>
      <c r="B22" s="5" t="s">
        <v>368</v>
      </c>
      <c r="C22" s="289">
        <v>55870.77</v>
      </c>
      <c r="D22" s="289">
        <v>11950.04</v>
      </c>
      <c r="E22" s="289">
        <v>6562.43</v>
      </c>
      <c r="F22" s="289">
        <v>12969.21</v>
      </c>
      <c r="G22" s="289">
        <v>19059.84</v>
      </c>
      <c r="H22" s="289">
        <v>17434.490000000002</v>
      </c>
      <c r="I22" s="289">
        <v>13807.999415393204</v>
      </c>
      <c r="J22" s="289">
        <v>13807.999415393204</v>
      </c>
      <c r="K22" s="289">
        <v>13807.999415393204</v>
      </c>
      <c r="L22" s="39">
        <f t="shared" ref="L22:N22" si="4">L67</f>
        <v>12201.729550690055</v>
      </c>
      <c r="M22" s="39">
        <f t="shared" si="4"/>
        <v>12201.729550690055</v>
      </c>
      <c r="N22" s="39">
        <f t="shared" si="4"/>
        <v>12201.729550690055</v>
      </c>
      <c r="O22" s="5">
        <f t="shared" si="0"/>
        <v>201875.9668982497</v>
      </c>
      <c r="P22" s="196"/>
      <c r="Q22" s="196"/>
      <c r="R22" s="216"/>
    </row>
    <row r="23" spans="1:18">
      <c r="A23" s="8">
        <f t="shared" si="1"/>
        <v>12</v>
      </c>
    </row>
    <row r="24" spans="1:18">
      <c r="A24" s="8">
        <f t="shared" si="1"/>
        <v>13</v>
      </c>
      <c r="B24" s="5" t="s">
        <v>241</v>
      </c>
      <c r="C24" s="291">
        <f t="shared" ref="C24:H24" si="5">SUM(C12:C22)</f>
        <v>430926.3</v>
      </c>
      <c r="D24" s="291">
        <f t="shared" si="5"/>
        <v>346632.42</v>
      </c>
      <c r="E24" s="291">
        <f t="shared" si="5"/>
        <v>374616.85</v>
      </c>
      <c r="F24" s="291">
        <f t="shared" si="5"/>
        <v>250215.94999999995</v>
      </c>
      <c r="G24" s="291">
        <f t="shared" si="5"/>
        <v>471464.83</v>
      </c>
      <c r="H24" s="291">
        <f t="shared" si="5"/>
        <v>389331.08</v>
      </c>
      <c r="I24" s="291">
        <f t="shared" ref="I24:N24" si="6">SUM(I12:I23)</f>
        <v>368367.00000000006</v>
      </c>
      <c r="J24" s="291">
        <f t="shared" si="6"/>
        <v>325373.00000000006</v>
      </c>
      <c r="K24" s="291">
        <f t="shared" si="6"/>
        <v>400973.00000000006</v>
      </c>
      <c r="L24" s="291">
        <f t="shared" si="6"/>
        <v>486262.67551217193</v>
      </c>
      <c r="M24" s="291">
        <f t="shared" si="6"/>
        <v>520530.67551217193</v>
      </c>
      <c r="N24" s="291">
        <f t="shared" si="6"/>
        <v>465681.67551217193</v>
      </c>
      <c r="O24" s="291">
        <f>SUM(C24:N24)</f>
        <v>4830375.4565365156</v>
      </c>
      <c r="P24" s="196"/>
    </row>
    <row r="25" spans="1:18">
      <c r="A25" s="8">
        <f t="shared" si="1"/>
        <v>14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190"/>
    </row>
    <row r="26" spans="1:18" ht="15.75">
      <c r="A26" s="8">
        <f t="shared" si="1"/>
        <v>15</v>
      </c>
      <c r="B26" s="288" t="s">
        <v>369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P26" s="216"/>
    </row>
    <row r="27" spans="1:18">
      <c r="A27" s="8">
        <f t="shared" si="1"/>
        <v>16</v>
      </c>
      <c r="B27" s="5" t="s">
        <v>358</v>
      </c>
      <c r="C27" s="289">
        <v>375716.89000000007</v>
      </c>
      <c r="D27" s="289">
        <v>330989.88999999996</v>
      </c>
      <c r="E27" s="289">
        <v>264586.61000000016</v>
      </c>
      <c r="F27" s="289">
        <v>257411.09000000008</v>
      </c>
      <c r="G27" s="289">
        <v>370189.22000000009</v>
      </c>
      <c r="H27" s="289">
        <v>256178.7300000001</v>
      </c>
      <c r="I27" s="289">
        <v>191592.62908226048</v>
      </c>
      <c r="J27" s="289">
        <v>191592.62908226048</v>
      </c>
      <c r="K27" s="289">
        <v>191592.62908226048</v>
      </c>
      <c r="L27" s="289">
        <v>205198.53309371014</v>
      </c>
      <c r="M27" s="289">
        <v>205198.53309371014</v>
      </c>
      <c r="N27" s="289">
        <v>205198.53309371014</v>
      </c>
      <c r="O27" s="289">
        <f t="shared" ref="O27:O34" si="7">SUM(C27:N27)</f>
        <v>3045445.9165279116</v>
      </c>
      <c r="Q27" s="216"/>
    </row>
    <row r="28" spans="1:18">
      <c r="A28" s="8">
        <f t="shared" si="1"/>
        <v>17</v>
      </c>
      <c r="B28" s="5" t="s">
        <v>359</v>
      </c>
      <c r="C28" s="289">
        <v>29576.989999999998</v>
      </c>
      <c r="D28" s="289">
        <v>-104.88000000000193</v>
      </c>
      <c r="E28" s="289">
        <v>-1000.2900000000009</v>
      </c>
      <c r="F28" s="289">
        <v>39.809999999999945</v>
      </c>
      <c r="G28" s="289">
        <v>663.03</v>
      </c>
      <c r="H28" s="289">
        <v>271.64000000000004</v>
      </c>
      <c r="I28" s="289">
        <v>3041.2257454254577</v>
      </c>
      <c r="J28" s="289">
        <v>3041.2257454254577</v>
      </c>
      <c r="K28" s="289">
        <v>3041.2257454254577</v>
      </c>
      <c r="L28" s="289">
        <v>3257.1976529441035</v>
      </c>
      <c r="M28" s="289">
        <v>3257.1976529441035</v>
      </c>
      <c r="N28" s="289">
        <v>3257.1976529441035</v>
      </c>
      <c r="O28" s="5">
        <f t="shared" si="7"/>
        <v>48341.570195108674</v>
      </c>
    </row>
    <row r="29" spans="1:18">
      <c r="A29" s="8">
        <f t="shared" si="1"/>
        <v>18</v>
      </c>
      <c r="B29" s="5" t="s">
        <v>360</v>
      </c>
      <c r="C29" s="289">
        <v>55762.23000000001</v>
      </c>
      <c r="D29" s="289">
        <v>26610.37000000001</v>
      </c>
      <c r="E29" s="289">
        <v>-5864.0599999999995</v>
      </c>
      <c r="F29" s="289">
        <v>489.35000000000036</v>
      </c>
      <c r="G29" s="289">
        <v>1661.5199999999998</v>
      </c>
      <c r="H29" s="289">
        <v>982.85999999999979</v>
      </c>
      <c r="I29" s="289">
        <v>8225.4857808324214</v>
      </c>
      <c r="J29" s="289">
        <v>8225.4857808324214</v>
      </c>
      <c r="K29" s="289">
        <v>8225.4857808324214</v>
      </c>
      <c r="L29" s="289">
        <v>8809.6166553740459</v>
      </c>
      <c r="M29" s="289">
        <v>8809.6166553740459</v>
      </c>
      <c r="N29" s="289">
        <v>8809.6166553740459</v>
      </c>
      <c r="O29" s="5">
        <f t="shared" si="7"/>
        <v>130747.57730861942</v>
      </c>
    </row>
    <row r="30" spans="1:18">
      <c r="A30" s="8">
        <f t="shared" si="1"/>
        <v>19</v>
      </c>
      <c r="B30" s="5" t="s">
        <v>370</v>
      </c>
      <c r="C30" s="289">
        <v>44000</v>
      </c>
      <c r="D30" s="289">
        <v>44000</v>
      </c>
      <c r="E30" s="289">
        <v>44000</v>
      </c>
      <c r="F30" s="289">
        <v>44000</v>
      </c>
      <c r="G30" s="289">
        <v>44000</v>
      </c>
      <c r="H30" s="289">
        <v>44000</v>
      </c>
      <c r="I30" s="289">
        <v>44000</v>
      </c>
      <c r="J30" s="289">
        <v>44000</v>
      </c>
      <c r="K30" s="289">
        <v>44000</v>
      </c>
      <c r="L30" s="289">
        <v>64500</v>
      </c>
      <c r="M30" s="289">
        <v>64500</v>
      </c>
      <c r="N30" s="289">
        <v>64500</v>
      </c>
      <c r="O30" s="5">
        <f t="shared" si="7"/>
        <v>589500</v>
      </c>
      <c r="P30" s="196"/>
    </row>
    <row r="31" spans="1:18">
      <c r="A31" s="8">
        <f t="shared" si="1"/>
        <v>20</v>
      </c>
      <c r="B31" s="5" t="s">
        <v>371</v>
      </c>
      <c r="C31" s="289">
        <v>0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  <c r="M31" s="289">
        <v>0</v>
      </c>
      <c r="N31" s="289">
        <v>0</v>
      </c>
      <c r="O31" s="5">
        <f t="shared" si="7"/>
        <v>0</v>
      </c>
    </row>
    <row r="32" spans="1:18">
      <c r="A32" s="8">
        <f t="shared" si="1"/>
        <v>21</v>
      </c>
      <c r="B32" s="5" t="s">
        <v>372</v>
      </c>
      <c r="C32" s="289">
        <v>258.72000000000003</v>
      </c>
      <c r="D32" s="289">
        <v>-16187.62</v>
      </c>
      <c r="E32" s="289">
        <v>0</v>
      </c>
      <c r="F32" s="289">
        <v>-2327654.2799999998</v>
      </c>
      <c r="G32" s="289">
        <v>2327847.39</v>
      </c>
      <c r="H32" s="289">
        <v>180543.62</v>
      </c>
      <c r="I32" s="289">
        <v>0</v>
      </c>
      <c r="J32" s="289">
        <v>0</v>
      </c>
      <c r="K32" s="289">
        <v>0</v>
      </c>
      <c r="L32" s="289">
        <v>0</v>
      </c>
      <c r="M32" s="289">
        <v>0</v>
      </c>
      <c r="N32" s="289">
        <v>0</v>
      </c>
      <c r="O32" s="5">
        <f t="shared" si="7"/>
        <v>164807.83000000042</v>
      </c>
      <c r="Q32" s="213"/>
      <c r="R32" s="216"/>
    </row>
    <row r="33" spans="1:17">
      <c r="A33" s="8">
        <f t="shared" si="1"/>
        <v>22</v>
      </c>
      <c r="B33" s="9"/>
      <c r="C33" s="292"/>
      <c r="D33" s="292"/>
      <c r="E33" s="292"/>
      <c r="F33" s="39"/>
      <c r="G33" s="39"/>
      <c r="H33" s="39"/>
      <c r="I33" s="39"/>
      <c r="J33" s="39"/>
      <c r="K33" s="39"/>
      <c r="L33" s="39"/>
      <c r="M33" s="39"/>
      <c r="N33" s="39"/>
    </row>
    <row r="34" spans="1:17">
      <c r="A34" s="8">
        <f t="shared" si="1"/>
        <v>23</v>
      </c>
      <c r="B34" s="5" t="s">
        <v>373</v>
      </c>
      <c r="C34" s="291">
        <f t="shared" ref="C34:N34" si="8">SUM(C27:C32)</f>
        <v>505314.83000000007</v>
      </c>
      <c r="D34" s="291">
        <f t="shared" si="8"/>
        <v>385307.75999999995</v>
      </c>
      <c r="E34" s="291">
        <f t="shared" si="8"/>
        <v>301722.26000000018</v>
      </c>
      <c r="F34" s="291">
        <f t="shared" si="8"/>
        <v>-2025714.0299999998</v>
      </c>
      <c r="G34" s="291">
        <f t="shared" si="8"/>
        <v>2744361.16</v>
      </c>
      <c r="H34" s="291">
        <f t="shared" si="8"/>
        <v>481976.85000000009</v>
      </c>
      <c r="I34" s="291">
        <f t="shared" si="8"/>
        <v>246859.34060851834</v>
      </c>
      <c r="J34" s="291">
        <f t="shared" si="8"/>
        <v>246859.34060851834</v>
      </c>
      <c r="K34" s="291">
        <f t="shared" si="8"/>
        <v>246859.34060851834</v>
      </c>
      <c r="L34" s="291">
        <f t="shared" si="8"/>
        <v>281765.34740202827</v>
      </c>
      <c r="M34" s="291">
        <f t="shared" si="8"/>
        <v>281765.34740202827</v>
      </c>
      <c r="N34" s="291">
        <f t="shared" si="8"/>
        <v>281765.34740202827</v>
      </c>
      <c r="O34" s="291">
        <f t="shared" si="7"/>
        <v>3978842.8940316415</v>
      </c>
    </row>
    <row r="35" spans="1:17">
      <c r="A35" s="8">
        <f t="shared" si="1"/>
        <v>24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7">
      <c r="A36" s="8">
        <f t="shared" si="1"/>
        <v>25</v>
      </c>
      <c r="B36" s="5" t="s">
        <v>374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>
        <v>0.10349999999999999</v>
      </c>
      <c r="M36" s="284">
        <f t="shared" ref="M36:N37" si="9">L36</f>
        <v>0.10349999999999999</v>
      </c>
      <c r="N36" s="284">
        <f t="shared" si="9"/>
        <v>0.10349999999999999</v>
      </c>
    </row>
    <row r="37" spans="1:17">
      <c r="A37" s="8">
        <f t="shared" si="1"/>
        <v>26</v>
      </c>
      <c r="B37" s="5" t="s">
        <v>375</v>
      </c>
      <c r="C37" s="255"/>
      <c r="D37" s="255"/>
      <c r="E37" s="255"/>
      <c r="F37" s="255"/>
      <c r="G37" s="255"/>
      <c r="H37" s="255"/>
      <c r="I37" s="255"/>
      <c r="J37" s="255"/>
      <c r="K37" s="284"/>
      <c r="L37" s="255">
        <v>0.5025136071712456</v>
      </c>
      <c r="M37" s="284">
        <f t="shared" si="9"/>
        <v>0.5025136071712456</v>
      </c>
      <c r="N37" s="284">
        <f t="shared" si="9"/>
        <v>0.5025136071712456</v>
      </c>
    </row>
    <row r="38" spans="1:17">
      <c r="A38" s="8">
        <f t="shared" si="1"/>
        <v>27</v>
      </c>
    </row>
    <row r="39" spans="1:17">
      <c r="A39" s="8">
        <f t="shared" si="1"/>
        <v>28</v>
      </c>
      <c r="B39" s="5" t="s">
        <v>342</v>
      </c>
      <c r="C39" s="291">
        <f t="shared" ref="C39:K39" si="10">C21</f>
        <v>26372.68</v>
      </c>
      <c r="D39" s="291">
        <f t="shared" si="10"/>
        <v>20039.37</v>
      </c>
      <c r="E39" s="291">
        <f t="shared" si="10"/>
        <v>15692.2</v>
      </c>
      <c r="F39" s="291">
        <f t="shared" si="10"/>
        <v>-105354.85</v>
      </c>
      <c r="G39" s="291">
        <f t="shared" si="10"/>
        <v>142730.79</v>
      </c>
      <c r="H39" s="291">
        <f t="shared" si="10"/>
        <v>15677.17</v>
      </c>
      <c r="I39" s="291">
        <f t="shared" si="10"/>
        <v>12839.193393306026</v>
      </c>
      <c r="J39" s="291">
        <f t="shared" si="10"/>
        <v>12839.193393306026</v>
      </c>
      <c r="K39" s="291">
        <f t="shared" si="10"/>
        <v>12839.193393306026</v>
      </c>
      <c r="L39" s="291">
        <f t="shared" ref="L39:N39" si="11">(L34)*L36*L37</f>
        <v>14654.660333731223</v>
      </c>
      <c r="M39" s="291">
        <f t="shared" si="11"/>
        <v>14654.660333731223</v>
      </c>
      <c r="N39" s="291">
        <f t="shared" si="11"/>
        <v>14654.660333731223</v>
      </c>
      <c r="O39" s="291">
        <f>SUM(C39:N39)</f>
        <v>197638.92118111171</v>
      </c>
    </row>
    <row r="40" spans="1:17">
      <c r="A40" s="8">
        <f t="shared" si="1"/>
        <v>29</v>
      </c>
    </row>
    <row r="41" spans="1:17" ht="15.75">
      <c r="A41" s="8">
        <f t="shared" si="1"/>
        <v>30</v>
      </c>
      <c r="B41" s="288" t="s">
        <v>376</v>
      </c>
    </row>
    <row r="42" spans="1:17">
      <c r="A42" s="8">
        <f t="shared" si="1"/>
        <v>31</v>
      </c>
      <c r="B42" s="5" t="s">
        <v>358</v>
      </c>
      <c r="C42" s="289">
        <v>199726.84999999998</v>
      </c>
      <c r="D42" s="289">
        <v>206662.44000000003</v>
      </c>
      <c r="E42" s="289">
        <v>179393.83999999997</v>
      </c>
      <c r="F42" s="289">
        <v>149612.49</v>
      </c>
      <c r="G42" s="289">
        <v>219422.88</v>
      </c>
      <c r="H42" s="289">
        <v>147259.89000000001</v>
      </c>
      <c r="I42" s="289">
        <v>109106.3382309841</v>
      </c>
      <c r="J42" s="289">
        <v>109106.3382309841</v>
      </c>
      <c r="K42" s="289">
        <v>109106.3382309841</v>
      </c>
      <c r="L42" s="289">
        <v>117898.4140319592</v>
      </c>
      <c r="M42" s="289">
        <v>117898.4140319592</v>
      </c>
      <c r="N42" s="289">
        <v>117898.4140319592</v>
      </c>
      <c r="O42" s="289">
        <f t="shared" ref="O42:O47" si="12">SUM(C42:N42)</f>
        <v>1783092.6467888297</v>
      </c>
      <c r="P42" s="196"/>
    </row>
    <row r="43" spans="1:17">
      <c r="A43" s="8">
        <f t="shared" si="1"/>
        <v>32</v>
      </c>
      <c r="B43" s="5" t="s">
        <v>359</v>
      </c>
      <c r="C43" s="289">
        <v>16982.820000000003</v>
      </c>
      <c r="D43" s="289">
        <v>288.73999999999978</v>
      </c>
      <c r="E43" s="289">
        <v>-479.12999999999988</v>
      </c>
      <c r="F43" s="289">
        <v>12.310000000000002</v>
      </c>
      <c r="G43" s="289">
        <v>393.75</v>
      </c>
      <c r="H43" s="289">
        <v>155.62</v>
      </c>
      <c r="I43" s="289">
        <v>1718.0659856307532</v>
      </c>
      <c r="J43" s="289">
        <v>1718.0659856307532</v>
      </c>
      <c r="K43" s="289">
        <v>1718.0659856307532</v>
      </c>
      <c r="L43" s="289">
        <v>1856.5122631033203</v>
      </c>
      <c r="M43" s="289">
        <v>1856.5122631033203</v>
      </c>
      <c r="N43" s="289">
        <v>1856.5122631033203</v>
      </c>
      <c r="O43" s="5">
        <f t="shared" si="12"/>
        <v>28077.844746202223</v>
      </c>
    </row>
    <row r="44" spans="1:17">
      <c r="A44" s="8">
        <f t="shared" si="1"/>
        <v>33</v>
      </c>
      <c r="B44" s="5" t="s">
        <v>360</v>
      </c>
      <c r="C44" s="289">
        <v>32014</v>
      </c>
      <c r="D44" s="289">
        <v>16790.55</v>
      </c>
      <c r="E44" s="289">
        <v>-3067.1200000000008</v>
      </c>
      <c r="F44" s="289">
        <v>245.43000000000006</v>
      </c>
      <c r="G44" s="289">
        <v>984.52</v>
      </c>
      <c r="H44" s="289">
        <v>565.58000000000015</v>
      </c>
      <c r="I44" s="289">
        <v>4705.7879529602587</v>
      </c>
      <c r="J44" s="289">
        <v>4705.7879529602587</v>
      </c>
      <c r="K44" s="289">
        <v>4705.7879529602587</v>
      </c>
      <c r="L44" s="289">
        <v>5084.9927274633828</v>
      </c>
      <c r="M44" s="289">
        <v>5084.9927274633828</v>
      </c>
      <c r="N44" s="289">
        <v>5084.9927274633828</v>
      </c>
      <c r="O44" s="5">
        <f t="shared" si="12"/>
        <v>76905.302041270916</v>
      </c>
    </row>
    <row r="45" spans="1:17">
      <c r="A45" s="8">
        <f t="shared" si="1"/>
        <v>34</v>
      </c>
      <c r="B45" s="5" t="s">
        <v>370</v>
      </c>
      <c r="C45" s="289">
        <v>44000</v>
      </c>
      <c r="D45" s="289">
        <v>44000</v>
      </c>
      <c r="E45" s="289">
        <v>44000</v>
      </c>
      <c r="F45" s="289">
        <v>44000</v>
      </c>
      <c r="G45" s="289">
        <v>44000</v>
      </c>
      <c r="H45" s="289">
        <v>44000</v>
      </c>
      <c r="I45" s="289">
        <v>44000</v>
      </c>
      <c r="J45" s="289">
        <v>44000</v>
      </c>
      <c r="K45" s="289">
        <v>44000</v>
      </c>
      <c r="L45" s="289">
        <v>48700</v>
      </c>
      <c r="M45" s="289">
        <v>48700</v>
      </c>
      <c r="N45" s="289">
        <v>48700</v>
      </c>
      <c r="O45" s="5">
        <f t="shared" si="12"/>
        <v>542100</v>
      </c>
      <c r="P45" s="196"/>
    </row>
    <row r="46" spans="1:17">
      <c r="A46" s="8">
        <f t="shared" si="1"/>
        <v>35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>
      <c r="A47" s="8">
        <f t="shared" si="1"/>
        <v>36</v>
      </c>
      <c r="B47" s="5" t="s">
        <v>373</v>
      </c>
      <c r="C47" s="291">
        <f t="shared" ref="C47:N47" si="13">SUM(C42:C45)</f>
        <v>292723.67</v>
      </c>
      <c r="D47" s="291">
        <f t="shared" si="13"/>
        <v>267741.73</v>
      </c>
      <c r="E47" s="291">
        <f t="shared" si="13"/>
        <v>219847.58999999997</v>
      </c>
      <c r="F47" s="291">
        <f t="shared" si="13"/>
        <v>193870.22999999998</v>
      </c>
      <c r="G47" s="291">
        <f t="shared" si="13"/>
        <v>264801.15000000002</v>
      </c>
      <c r="H47" s="291">
        <f t="shared" si="13"/>
        <v>191981.09</v>
      </c>
      <c r="I47" s="291">
        <f t="shared" si="13"/>
        <v>159530.19216957511</v>
      </c>
      <c r="J47" s="291">
        <f>SUM(J42:J45)</f>
        <v>159530.19216957511</v>
      </c>
      <c r="K47" s="291">
        <f t="shared" si="13"/>
        <v>159530.19216957511</v>
      </c>
      <c r="L47" s="291">
        <f t="shared" si="13"/>
        <v>173539.91902252589</v>
      </c>
      <c r="M47" s="291">
        <f t="shared" si="13"/>
        <v>173539.91902252589</v>
      </c>
      <c r="N47" s="291">
        <f t="shared" si="13"/>
        <v>173539.91902252589</v>
      </c>
      <c r="O47" s="291">
        <f t="shared" si="12"/>
        <v>2430175.7935763029</v>
      </c>
      <c r="Q47" s="213"/>
    </row>
    <row r="48" spans="1:17">
      <c r="A48" s="8">
        <f t="shared" si="1"/>
        <v>37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</row>
    <row r="49" spans="1:17">
      <c r="A49" s="8">
        <f t="shared" si="1"/>
        <v>38</v>
      </c>
      <c r="B49" s="5" t="s">
        <v>374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>
        <v>0.10929999999999999</v>
      </c>
      <c r="M49" s="255">
        <f t="shared" ref="M49:N50" si="14">L49</f>
        <v>0.10929999999999999</v>
      </c>
      <c r="N49" s="255">
        <f t="shared" si="14"/>
        <v>0.10929999999999999</v>
      </c>
    </row>
    <row r="50" spans="1:17">
      <c r="A50" s="8">
        <f t="shared" si="1"/>
        <v>39</v>
      </c>
      <c r="B50" s="5" t="s">
        <v>375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>
        <v>0.51883860656465508</v>
      </c>
      <c r="M50" s="255">
        <f t="shared" si="14"/>
        <v>0.51883860656465508</v>
      </c>
      <c r="N50" s="255">
        <f t="shared" si="14"/>
        <v>0.51883860656465508</v>
      </c>
    </row>
    <row r="51" spans="1:17">
      <c r="A51" s="8">
        <f t="shared" si="1"/>
        <v>40</v>
      </c>
      <c r="J51" s="255"/>
    </row>
    <row r="52" spans="1:17">
      <c r="A52" s="8">
        <f t="shared" si="1"/>
        <v>41</v>
      </c>
      <c r="B52" s="5" t="s">
        <v>342</v>
      </c>
      <c r="C52" s="291">
        <f t="shared" ref="C52:K52" si="15">C20</f>
        <v>16598.849999999999</v>
      </c>
      <c r="D52" s="291">
        <f t="shared" si="15"/>
        <v>15182.25</v>
      </c>
      <c r="E52" s="291">
        <f t="shared" si="15"/>
        <v>12466.42</v>
      </c>
      <c r="F52" s="291">
        <f t="shared" si="15"/>
        <v>10993.38</v>
      </c>
      <c r="G52" s="291">
        <f t="shared" si="15"/>
        <v>15015.51</v>
      </c>
      <c r="H52" s="291">
        <f t="shared" si="15"/>
        <v>10886.26</v>
      </c>
      <c r="I52" s="291">
        <f t="shared" si="15"/>
        <v>9046.8071913007643</v>
      </c>
      <c r="J52" s="291">
        <f t="shared" si="15"/>
        <v>9046.8071913007643</v>
      </c>
      <c r="K52" s="291">
        <f t="shared" si="15"/>
        <v>9046.8071913007643</v>
      </c>
      <c r="L52" s="291">
        <f t="shared" ref="L52:N52" si="16">(L47)*L49*L50</f>
        <v>9841.2856277506526</v>
      </c>
      <c r="M52" s="291">
        <f t="shared" si="16"/>
        <v>9841.2856277506526</v>
      </c>
      <c r="N52" s="291">
        <f t="shared" si="16"/>
        <v>9841.2856277506526</v>
      </c>
      <c r="O52" s="291">
        <f>SUM(C52:N52)</f>
        <v>137806.94845715421</v>
      </c>
    </row>
    <row r="53" spans="1:17">
      <c r="A53" s="8">
        <f t="shared" si="1"/>
        <v>42</v>
      </c>
    </row>
    <row r="54" spans="1:17" ht="15.75">
      <c r="A54" s="8">
        <f t="shared" si="1"/>
        <v>43</v>
      </c>
      <c r="B54" s="288" t="s">
        <v>377</v>
      </c>
    </row>
    <row r="55" spans="1:17">
      <c r="A55" s="8">
        <f t="shared" si="1"/>
        <v>44</v>
      </c>
      <c r="B55" s="5" t="s">
        <v>358</v>
      </c>
      <c r="C55" s="289">
        <v>102721.98999999998</v>
      </c>
      <c r="D55" s="289">
        <v>18098.100000000002</v>
      </c>
      <c r="E55" s="289">
        <v>9388.9100000000035</v>
      </c>
      <c r="F55" s="289">
        <v>20668.28</v>
      </c>
      <c r="G55" s="289">
        <v>32893.550000000003</v>
      </c>
      <c r="H55" s="289">
        <v>29690.670000000002</v>
      </c>
      <c r="I55" s="289">
        <v>22205.157145459118</v>
      </c>
      <c r="J55" s="289">
        <v>22205.157145459118</v>
      </c>
      <c r="K55" s="289">
        <v>22205.157145459118</v>
      </c>
      <c r="L55" s="289">
        <v>23789.232510700818</v>
      </c>
      <c r="M55" s="289">
        <v>23789.232510700818</v>
      </c>
      <c r="N55" s="289">
        <v>23789.232510700818</v>
      </c>
      <c r="O55" s="289">
        <f t="shared" ref="O55:O62" si="17">SUM(C55:N55)</f>
        <v>351444.66896847979</v>
      </c>
    </row>
    <row r="56" spans="1:17">
      <c r="A56" s="8">
        <f t="shared" si="1"/>
        <v>45</v>
      </c>
      <c r="B56" s="5" t="s">
        <v>359</v>
      </c>
      <c r="C56" s="289">
        <v>1639.9999999999998</v>
      </c>
      <c r="D56" s="289">
        <v>43.640000000000043</v>
      </c>
      <c r="E56" s="289">
        <v>-177.32</v>
      </c>
      <c r="F56" s="289">
        <v>-2.08</v>
      </c>
      <c r="G56" s="289">
        <v>14.970000000000002</v>
      </c>
      <c r="H56" s="289">
        <v>2.57</v>
      </c>
      <c r="I56" s="289">
        <v>158.30191411948655</v>
      </c>
      <c r="J56" s="289">
        <v>158.30191411948655</v>
      </c>
      <c r="K56" s="289">
        <v>158.30191411948655</v>
      </c>
      <c r="L56" s="289">
        <v>169.59488362132888</v>
      </c>
      <c r="M56" s="289">
        <v>169.59488362132888</v>
      </c>
      <c r="N56" s="289">
        <v>169.59488362132888</v>
      </c>
      <c r="O56" s="5">
        <f t="shared" si="17"/>
        <v>2505.4703932224461</v>
      </c>
    </row>
    <row r="57" spans="1:17">
      <c r="A57" s="8">
        <f t="shared" si="1"/>
        <v>46</v>
      </c>
      <c r="B57" s="5" t="s">
        <v>360</v>
      </c>
      <c r="C57" s="289">
        <v>1674.8899999999999</v>
      </c>
      <c r="D57" s="289">
        <v>541.69999999999993</v>
      </c>
      <c r="E57" s="289">
        <v>-1258.2600000000002</v>
      </c>
      <c r="F57" s="289">
        <v>130.43</v>
      </c>
      <c r="G57" s="289">
        <v>8.7499999999999982</v>
      </c>
      <c r="H57" s="289">
        <v>2.2599999999999998</v>
      </c>
      <c r="I57" s="289">
        <v>114.40267061676961</v>
      </c>
      <c r="J57" s="289">
        <v>114.40267061676961</v>
      </c>
      <c r="K57" s="289">
        <v>114.40267061676961</v>
      </c>
      <c r="L57" s="289">
        <v>122.56394824496891</v>
      </c>
      <c r="M57" s="289">
        <v>122.56394824496891</v>
      </c>
      <c r="N57" s="289">
        <v>122.56394824496891</v>
      </c>
      <c r="O57" s="5">
        <f t="shared" si="17"/>
        <v>1810.6698565852155</v>
      </c>
    </row>
    <row r="58" spans="1:17">
      <c r="A58" s="8">
        <f t="shared" si="1"/>
        <v>47</v>
      </c>
      <c r="B58" s="9" t="s">
        <v>361</v>
      </c>
      <c r="C58" s="289">
        <v>148.74</v>
      </c>
      <c r="D58" s="289">
        <v>97.74</v>
      </c>
      <c r="E58" s="289">
        <v>106.24</v>
      </c>
      <c r="F58" s="289">
        <v>12.75</v>
      </c>
      <c r="G58" s="289">
        <v>12.75</v>
      </c>
      <c r="H58" s="289">
        <v>0</v>
      </c>
      <c r="I58" s="289">
        <v>0</v>
      </c>
      <c r="J58" s="289">
        <v>0</v>
      </c>
      <c r="K58" s="289">
        <v>0</v>
      </c>
      <c r="L58" s="289">
        <v>0</v>
      </c>
      <c r="M58" s="289">
        <v>0</v>
      </c>
      <c r="N58" s="289">
        <v>0</v>
      </c>
      <c r="O58" s="5">
        <f t="shared" si="17"/>
        <v>378.22</v>
      </c>
    </row>
    <row r="59" spans="1:17">
      <c r="A59" s="8">
        <f t="shared" si="1"/>
        <v>48</v>
      </c>
      <c r="B59" s="5" t="s">
        <v>370</v>
      </c>
      <c r="C59" s="289">
        <v>5000</v>
      </c>
      <c r="D59" s="289">
        <v>5000</v>
      </c>
      <c r="E59" s="289">
        <v>5000</v>
      </c>
      <c r="F59" s="289">
        <v>5000</v>
      </c>
      <c r="G59" s="289">
        <v>5000</v>
      </c>
      <c r="H59" s="289">
        <v>5000</v>
      </c>
      <c r="I59" s="289">
        <v>5000</v>
      </c>
      <c r="J59" s="289">
        <v>5000</v>
      </c>
      <c r="K59" s="289">
        <v>5000</v>
      </c>
      <c r="L59" s="289">
        <v>200</v>
      </c>
      <c r="M59" s="289">
        <v>200</v>
      </c>
      <c r="N59" s="289">
        <v>200</v>
      </c>
      <c r="O59" s="5">
        <f t="shared" si="17"/>
        <v>45600</v>
      </c>
    </row>
    <row r="60" spans="1:17">
      <c r="A60" s="8">
        <f t="shared" si="1"/>
        <v>49</v>
      </c>
      <c r="B60" s="213" t="s">
        <v>378</v>
      </c>
      <c r="C60" s="289">
        <v>0</v>
      </c>
      <c r="D60" s="289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289">
        <v>0</v>
      </c>
      <c r="M60" s="289">
        <v>0</v>
      </c>
      <c r="N60" s="289">
        <v>0</v>
      </c>
      <c r="O60" s="5">
        <f t="shared" si="17"/>
        <v>0</v>
      </c>
    </row>
    <row r="61" spans="1:17">
      <c r="A61" s="8">
        <f t="shared" si="1"/>
        <v>50</v>
      </c>
      <c r="B61" s="9"/>
      <c r="C61" s="39"/>
      <c r="D61" s="39"/>
      <c r="E61" s="292"/>
      <c r="F61" s="292"/>
      <c r="G61" s="39"/>
      <c r="H61" s="39"/>
      <c r="I61" s="39"/>
      <c r="J61" s="39"/>
      <c r="K61" s="39"/>
      <c r="L61" s="39"/>
      <c r="M61" s="39"/>
      <c r="N61" s="39"/>
      <c r="Q61" s="213"/>
    </row>
    <row r="62" spans="1:17">
      <c r="A62" s="8">
        <f t="shared" si="1"/>
        <v>51</v>
      </c>
      <c r="B62" s="5" t="s">
        <v>373</v>
      </c>
      <c r="C62" s="291">
        <f t="shared" ref="C62:N62" si="18">SUM(C55:C60)</f>
        <v>111185.61999999998</v>
      </c>
      <c r="D62" s="291">
        <f t="shared" si="18"/>
        <v>23781.180000000004</v>
      </c>
      <c r="E62" s="291">
        <f t="shared" si="18"/>
        <v>13059.570000000003</v>
      </c>
      <c r="F62" s="291">
        <f t="shared" si="18"/>
        <v>25809.379999999997</v>
      </c>
      <c r="G62" s="291">
        <f t="shared" si="18"/>
        <v>37930.020000000004</v>
      </c>
      <c r="H62" s="291">
        <f t="shared" si="18"/>
        <v>34695.5</v>
      </c>
      <c r="I62" s="291">
        <f t="shared" si="18"/>
        <v>27477.861730195371</v>
      </c>
      <c r="J62" s="291">
        <f t="shared" si="18"/>
        <v>27477.861730195371</v>
      </c>
      <c r="K62" s="291">
        <f t="shared" si="18"/>
        <v>27477.861730195371</v>
      </c>
      <c r="L62" s="291">
        <f t="shared" si="18"/>
        <v>24281.391342567116</v>
      </c>
      <c r="M62" s="291">
        <f t="shared" si="18"/>
        <v>24281.391342567116</v>
      </c>
      <c r="N62" s="291">
        <f t="shared" si="18"/>
        <v>24281.391342567116</v>
      </c>
      <c r="O62" s="291">
        <f t="shared" si="17"/>
        <v>401739.02921828738</v>
      </c>
    </row>
    <row r="63" spans="1:17">
      <c r="A63" s="8">
        <f t="shared" si="1"/>
        <v>52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</row>
    <row r="64" spans="1:17">
      <c r="A64" s="8">
        <f t="shared" si="1"/>
        <v>53</v>
      </c>
      <c r="B64" s="5" t="s">
        <v>374</v>
      </c>
      <c r="C64" s="255"/>
      <c r="D64" s="255"/>
      <c r="E64" s="255"/>
      <c r="F64" s="255"/>
      <c r="G64" s="255"/>
      <c r="H64" s="255"/>
      <c r="I64" s="255"/>
      <c r="J64" s="255"/>
      <c r="K64" s="255"/>
      <c r="L64" s="255">
        <v>1</v>
      </c>
      <c r="M64" s="255">
        <f t="shared" ref="M64:N65" si="19">L64</f>
        <v>1</v>
      </c>
      <c r="N64" s="255">
        <f t="shared" si="19"/>
        <v>1</v>
      </c>
    </row>
    <row r="65" spans="1:16">
      <c r="A65" s="8">
        <f t="shared" si="1"/>
        <v>54</v>
      </c>
      <c r="B65" s="5" t="s">
        <v>375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>
        <v>0.5025136071712456</v>
      </c>
      <c r="M65" s="255">
        <f t="shared" si="19"/>
        <v>0.5025136071712456</v>
      </c>
      <c r="N65" s="255">
        <f t="shared" si="19"/>
        <v>0.5025136071712456</v>
      </c>
    </row>
    <row r="66" spans="1:16">
      <c r="A66" s="8">
        <f t="shared" si="1"/>
        <v>55</v>
      </c>
    </row>
    <row r="67" spans="1:16">
      <c r="A67" s="8">
        <f t="shared" si="1"/>
        <v>56</v>
      </c>
      <c r="B67" s="5" t="s">
        <v>342</v>
      </c>
      <c r="C67" s="291">
        <f t="shared" ref="C67:K67" si="20">C22</f>
        <v>55870.77</v>
      </c>
      <c r="D67" s="291">
        <f t="shared" si="20"/>
        <v>11950.04</v>
      </c>
      <c r="E67" s="291">
        <f t="shared" si="20"/>
        <v>6562.43</v>
      </c>
      <c r="F67" s="291">
        <f t="shared" si="20"/>
        <v>12969.21</v>
      </c>
      <c r="G67" s="291">
        <f t="shared" si="20"/>
        <v>19059.84</v>
      </c>
      <c r="H67" s="291">
        <f t="shared" si="20"/>
        <v>17434.490000000002</v>
      </c>
      <c r="I67" s="291">
        <f t="shared" si="20"/>
        <v>13807.999415393204</v>
      </c>
      <c r="J67" s="291">
        <f t="shared" si="20"/>
        <v>13807.999415393204</v>
      </c>
      <c r="K67" s="291">
        <f t="shared" si="20"/>
        <v>13807.999415393204</v>
      </c>
      <c r="L67" s="291">
        <f t="shared" ref="L67:N67" si="21">(L62)*L64*L65</f>
        <v>12201.729550690055</v>
      </c>
      <c r="M67" s="291">
        <f t="shared" si="21"/>
        <v>12201.729550690055</v>
      </c>
      <c r="N67" s="291">
        <f t="shared" si="21"/>
        <v>12201.729550690055</v>
      </c>
      <c r="O67" s="291">
        <f>SUM(C67:N67)</f>
        <v>201875.9668982497</v>
      </c>
    </row>
    <row r="68" spans="1:16">
      <c r="C68" s="251"/>
    </row>
    <row r="70" spans="1:16">
      <c r="B70" s="19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196"/>
    </row>
    <row r="71" spans="1:16">
      <c r="B71" s="19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P71" s="196"/>
    </row>
    <row r="72" spans="1:16">
      <c r="B72" s="19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P72" s="196"/>
    </row>
    <row r="73" spans="1:16">
      <c r="P73" s="196"/>
    </row>
    <row r="74" spans="1:16">
      <c r="P74" s="196"/>
    </row>
    <row r="75" spans="1:16">
      <c r="E75" s="196"/>
      <c r="J75" s="216"/>
    </row>
    <row r="78" spans="1:16">
      <c r="J78" s="196"/>
      <c r="K78" s="196"/>
    </row>
    <row r="79" spans="1:16">
      <c r="J79" s="196"/>
      <c r="K79" s="196"/>
    </row>
    <row r="80" spans="1:16">
      <c r="J80" s="196"/>
      <c r="K80" s="196"/>
    </row>
    <row r="81" spans="10:11">
      <c r="J81" s="196"/>
      <c r="K81" s="196"/>
    </row>
    <row r="82" spans="10:11">
      <c r="J82" s="196"/>
      <c r="K82" s="196"/>
    </row>
    <row r="83" spans="10:11">
      <c r="J83" s="196"/>
      <c r="K83" s="196"/>
    </row>
    <row r="84" spans="10:11">
      <c r="J84" s="196"/>
      <c r="K84" s="196"/>
    </row>
  </sheetData>
  <mergeCells count="4">
    <mergeCell ref="A1:O1"/>
    <mergeCell ref="A2:O2"/>
    <mergeCell ref="A3:O3"/>
    <mergeCell ref="A4:O4"/>
  </mergeCells>
  <printOptions horizontalCentered="1"/>
  <pageMargins left="0.17" right="0.17" top="0.6" bottom="0.17" header="0.18" footer="0.42"/>
  <pageSetup scale="48" orientation="landscape" r:id="rId1"/>
  <headerFooter alignWithMargins="0">
    <oddHeader>&amp;RCASE NO. 2017-00349
FR 16(8)(c)
ATTACHMENT 1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E14" sqref="E14"/>
      <selection pane="topRight" activeCell="E14" sqref="E14"/>
      <selection pane="bottomLeft" activeCell="E14" sqref="E14"/>
      <selection pane="bottomRight" sqref="A1:O1"/>
    </sheetView>
  </sheetViews>
  <sheetFormatPr defaultRowHeight="15"/>
  <cols>
    <col min="1" max="1" width="4.6640625" style="5" customWidth="1"/>
    <col min="2" max="2" width="40.6640625" style="5" customWidth="1"/>
    <col min="3" max="14" width="10" style="5" customWidth="1"/>
    <col min="15" max="15" width="13.88671875" style="5" customWidth="1"/>
    <col min="16" max="16" width="13.109375" style="5" bestFit="1" customWidth="1"/>
    <col min="17" max="17" width="12" style="5" bestFit="1" customWidth="1"/>
    <col min="18" max="18" width="11.44140625" style="5" bestFit="1" customWidth="1"/>
    <col min="19" max="16384" width="8.88671875" style="5"/>
  </cols>
  <sheetData>
    <row r="1" spans="1:19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9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9">
      <c r="A3" s="308" t="s">
        <v>352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Q3" s="216"/>
    </row>
    <row r="4" spans="1:19">
      <c r="A4" s="308" t="s">
        <v>387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9">
      <c r="B5" s="238"/>
      <c r="C5" s="238"/>
      <c r="D5" s="238"/>
      <c r="E5" s="238"/>
      <c r="F5" s="239"/>
      <c r="G5" s="238"/>
      <c r="H5" s="238"/>
      <c r="I5" s="238"/>
      <c r="J5" s="238"/>
      <c r="K5" s="238"/>
      <c r="L5" s="238"/>
      <c r="M5" s="293"/>
      <c r="N5" s="238"/>
    </row>
    <row r="6" spans="1:19">
      <c r="A6" s="194" t="str">
        <f>'C.2.1 F'!A6</f>
        <v>Data:________Base Period___X____Forecasted Period</v>
      </c>
      <c r="M6" s="190"/>
      <c r="O6" s="195" t="s">
        <v>353</v>
      </c>
    </row>
    <row r="7" spans="1:19">
      <c r="A7" s="194" t="str">
        <f>'C.2.1 F'!A7</f>
        <v>Type of Filing:___X____Original________Updated ________Revised</v>
      </c>
      <c r="E7" s="196"/>
      <c r="H7" s="196"/>
      <c r="M7" s="190"/>
      <c r="N7" s="271"/>
      <c r="O7" s="197" t="s">
        <v>379</v>
      </c>
    </row>
    <row r="8" spans="1:19">
      <c r="A8" s="198" t="str">
        <f>'C.2.1 F'!A8</f>
        <v>Workpaper Reference No(s).____________________</v>
      </c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199"/>
      <c r="M8" s="199"/>
      <c r="N8" s="286"/>
      <c r="O8" s="294" t="str">
        <f>LEFT(C.1!J9,15)</f>
        <v>Witness: Waller</v>
      </c>
    </row>
    <row r="9" spans="1:19">
      <c r="A9" s="277" t="s">
        <v>21</v>
      </c>
      <c r="C9" s="156" t="str">
        <f>'C.2.2-F 09'!D9</f>
        <v>Forecasted</v>
      </c>
      <c r="D9" s="156" t="str">
        <f>'C.2.2-F 09'!E9</f>
        <v>Forecasted</v>
      </c>
      <c r="E9" s="156" t="str">
        <f>'C.2.2-F 09'!F9</f>
        <v>Forecasted</v>
      </c>
      <c r="F9" s="156" t="str">
        <f>'C.2.2-F 09'!G9</f>
        <v>Forecasted</v>
      </c>
      <c r="G9" s="156" t="str">
        <f>'C.2.2-F 09'!H9</f>
        <v>Forecasted</v>
      </c>
      <c r="H9" s="156" t="str">
        <f>'C.2.2-F 09'!I9</f>
        <v>Forecasted</v>
      </c>
      <c r="I9" s="156" t="str">
        <f>'C.2.2-F 09'!J9</f>
        <v>Forecasted</v>
      </c>
      <c r="J9" s="156" t="str">
        <f>'C.2.2-F 09'!K9</f>
        <v>Forecasted</v>
      </c>
      <c r="K9" s="156" t="str">
        <f>'C.2.2-F 09'!L9</f>
        <v>Forecasted</v>
      </c>
      <c r="L9" s="156" t="str">
        <f>'C.2.2-F 09'!M9</f>
        <v>Forecasted</v>
      </c>
      <c r="M9" s="156" t="str">
        <f>'C.2.2-F 09'!N9</f>
        <v>Forecasted</v>
      </c>
      <c r="N9" s="156" t="str">
        <f>'C.2.2-F 09'!O9</f>
        <v>Forecasted</v>
      </c>
      <c r="O9" s="243"/>
    </row>
    <row r="10" spans="1:19">
      <c r="A10" s="280" t="s">
        <v>24</v>
      </c>
      <c r="B10" s="286" t="s">
        <v>356</v>
      </c>
      <c r="C10" s="295">
        <f>'C.2.2-F 09'!D10</f>
        <v>43191</v>
      </c>
      <c r="D10" s="295">
        <f>'C.2.2-F 09'!E10</f>
        <v>43221</v>
      </c>
      <c r="E10" s="295">
        <f>'C.2.2-F 09'!F10</f>
        <v>43252</v>
      </c>
      <c r="F10" s="295">
        <f>'C.2.2-F 09'!G10</f>
        <v>43282</v>
      </c>
      <c r="G10" s="295">
        <f>'C.2.2-F 09'!H10</f>
        <v>43313</v>
      </c>
      <c r="H10" s="295">
        <f>'C.2.2-F 09'!I10</f>
        <v>43344</v>
      </c>
      <c r="I10" s="295">
        <f>'C.2.2-F 09'!J10</f>
        <v>43374</v>
      </c>
      <c r="J10" s="295">
        <f>'C.2.2-F 09'!K10</f>
        <v>43405</v>
      </c>
      <c r="K10" s="295">
        <f>'C.2.2-F 09'!L10</f>
        <v>43435</v>
      </c>
      <c r="L10" s="295">
        <f>'C.2.2-F 09'!M10</f>
        <v>43466</v>
      </c>
      <c r="M10" s="295">
        <f>'C.2.2-F 09'!N10</f>
        <v>43497</v>
      </c>
      <c r="N10" s="295">
        <f>'C.2.2-F 09'!O10</f>
        <v>43525</v>
      </c>
      <c r="O10" s="244" t="str">
        <f>'C.2.2 B 09'!P10</f>
        <v>Total</v>
      </c>
      <c r="P10" s="256"/>
    </row>
    <row r="11" spans="1:19" ht="15.75">
      <c r="B11" s="28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9" ht="15.75">
      <c r="B12" s="288" t="s">
        <v>357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9">
      <c r="A13" s="8">
        <v>1</v>
      </c>
      <c r="B13" s="5" t="s">
        <v>358</v>
      </c>
      <c r="C13" s="289">
        <f>'C.2.3 B'!F12*1.03</f>
        <v>21689.935699999998</v>
      </c>
      <c r="D13" s="289">
        <f>'C.2.3 B'!G12*1.03</f>
        <v>22055.060400000002</v>
      </c>
      <c r="E13" s="289">
        <f>'C.2.3 B'!H12*1.03</f>
        <v>20619.796599999994</v>
      </c>
      <c r="F13" s="289">
        <f>'C.2.3 B'!I12*1.03</f>
        <v>41819.770430420162</v>
      </c>
      <c r="G13" s="289">
        <f>'C.2.3 B'!J12*1.03</f>
        <v>16077.227465666949</v>
      </c>
      <c r="H13" s="289">
        <f>'C.2.3 B'!K12*1.03</f>
        <v>44558.742639855314</v>
      </c>
      <c r="I13" s="289">
        <f>'C.2.3 B'!L12*1.03</f>
        <v>21303.45014975328</v>
      </c>
      <c r="J13" s="289">
        <f>'C.2.3 B'!M12*1.03</f>
        <v>67671.193034425174</v>
      </c>
      <c r="K13" s="289">
        <f>'C.2.3 B'!N12*1.03</f>
        <v>12074.652103447163</v>
      </c>
      <c r="L13" s="289">
        <f>'C.2.3 B'!C12*1.03*1.03</f>
        <v>35512.927306000005</v>
      </c>
      <c r="M13" s="289">
        <f>'C.2.3 B'!D12*1.03*1.03</f>
        <v>26863.292907000006</v>
      </c>
      <c r="N13" s="289">
        <f>'C.2.3 B'!E12*1.03*1.03</f>
        <v>41431.900585999996</v>
      </c>
      <c r="O13" s="289">
        <f t="shared" ref="O13:O23" si="0">SUM(C13:N13)</f>
        <v>371677.94932256808</v>
      </c>
      <c r="P13" s="196"/>
      <c r="S13" s="216"/>
    </row>
    <row r="14" spans="1:19">
      <c r="A14" s="8">
        <f>A13+1</f>
        <v>2</v>
      </c>
      <c r="B14" s="5" t="s">
        <v>359</v>
      </c>
      <c r="C14" s="39">
        <f>'C.2.3 B'!F13*1.03</f>
        <v>-3.646199999999999</v>
      </c>
      <c r="D14" s="39">
        <f>'C.2.3 B'!G13*1.03</f>
        <v>27.913</v>
      </c>
      <c r="E14" s="39">
        <f>'C.2.3 B'!H13*1.03</f>
        <v>5.3869000000000007</v>
      </c>
      <c r="F14" s="39">
        <f>'C.2.3 B'!I13*1.03</f>
        <v>751.19469981178486</v>
      </c>
      <c r="G14" s="39">
        <f>'C.2.3 B'!J13*1.03</f>
        <v>288.78991767712887</v>
      </c>
      <c r="H14" s="39">
        <f>'C.2.3 B'!K13*1.03</f>
        <v>800.39395139741305</v>
      </c>
      <c r="I14" s="39">
        <f>'C.2.3 B'!L13*1.03</f>
        <v>382.66682661075657</v>
      </c>
      <c r="J14" s="39">
        <f>'C.2.3 B'!M13*1.03</f>
        <v>1215.5552508825581</v>
      </c>
      <c r="K14" s="39">
        <f>'C.2.3 B'!N13*1.03</f>
        <v>216.89298073197475</v>
      </c>
      <c r="L14" s="39">
        <f>'C.2.3 B'!C13*1.03*1.03</f>
        <v>3342.1638790000006</v>
      </c>
      <c r="M14" s="39">
        <f>'C.2.3 B'!D13*1.03*1.03</f>
        <v>28.272985000000219</v>
      </c>
      <c r="N14" s="39">
        <f>'C.2.3 B'!E13*1.03*1.03</f>
        <v>-345.46086700000012</v>
      </c>
      <c r="O14" s="39">
        <f t="shared" si="0"/>
        <v>6710.1233241116179</v>
      </c>
      <c r="P14" s="290"/>
    </row>
    <row r="15" spans="1:19">
      <c r="A15" s="8">
        <f t="shared" ref="A15:A68" si="1">A14+1</f>
        <v>3</v>
      </c>
      <c r="B15" s="5" t="s">
        <v>360</v>
      </c>
      <c r="C15" s="39">
        <f>'C.2.3 B'!F14*1.03</f>
        <v>246.12879999999998</v>
      </c>
      <c r="D15" s="39">
        <f>'C.2.3 B'!G14*1.03</f>
        <v>16.253400000000003</v>
      </c>
      <c r="E15" s="39">
        <f>'C.2.3 B'!H14*1.03</f>
        <v>4.604099999999999</v>
      </c>
      <c r="F15" s="39">
        <f>'C.2.3 B'!I14*1.03</f>
        <v>551.01486976805563</v>
      </c>
      <c r="G15" s="39">
        <f>'C.2.3 B'!J14*1.03</f>
        <v>211.83261665592264</v>
      </c>
      <c r="H15" s="39">
        <f>'C.2.3 B'!K14*1.03</f>
        <v>587.10340874727535</v>
      </c>
      <c r="I15" s="39">
        <f>'C.2.3 B'!L14*1.03</f>
        <v>280.69302363596529</v>
      </c>
      <c r="J15" s="39">
        <f>'C.2.3 B'!M14*1.03</f>
        <v>891.63171469227302</v>
      </c>
      <c r="K15" s="39">
        <f>'C.2.3 B'!N14*1.03</f>
        <v>159.09491582086315</v>
      </c>
      <c r="L15" s="39">
        <f>'C.2.3 B'!C14*1.03*1.03</f>
        <v>3413.2123519999996</v>
      </c>
      <c r="M15" s="39">
        <f>'C.2.3 B'!D14*1.03*1.03</f>
        <v>996.18510000000015</v>
      </c>
      <c r="N15" s="39">
        <f>'C.2.3 B'!E14*1.03*1.03</f>
        <v>-2443.114783</v>
      </c>
      <c r="O15" s="39">
        <f t="shared" si="0"/>
        <v>4914.6395183203558</v>
      </c>
      <c r="P15" s="290"/>
    </row>
    <row r="16" spans="1:19">
      <c r="A16" s="8">
        <f t="shared" si="1"/>
        <v>4</v>
      </c>
      <c r="B16" s="5" t="s">
        <v>361</v>
      </c>
      <c r="C16" s="39">
        <f>'C.2.3 B'!F15*1.03</f>
        <v>48.152500000000003</v>
      </c>
      <c r="D16" s="39">
        <f>'C.2.3 B'!G15*1.03</f>
        <v>0</v>
      </c>
      <c r="E16" s="39">
        <f>'C.2.3 B'!H15*1.03</f>
        <v>13.1325</v>
      </c>
      <c r="F16" s="39">
        <f>'C.2.3 B'!I15</f>
        <v>0</v>
      </c>
      <c r="G16" s="39">
        <f>'C.2.3 B'!J15</f>
        <v>0</v>
      </c>
      <c r="H16" s="39">
        <f>'C.2.3 B'!K15</f>
        <v>0</v>
      </c>
      <c r="I16" s="39">
        <f>'C.2.3 B'!L15</f>
        <v>0</v>
      </c>
      <c r="J16" s="39">
        <f>'C.2.3 B'!M15</f>
        <v>0</v>
      </c>
      <c r="K16" s="39">
        <f>'C.2.3 B'!N15</f>
        <v>0</v>
      </c>
      <c r="L16" s="292">
        <f>'C.2.3 B'!C15*1.03</f>
        <v>0</v>
      </c>
      <c r="M16" s="292">
        <f>'C.2.3 B'!M15</f>
        <v>0</v>
      </c>
      <c r="N16" s="292">
        <f>'C.2.3 B'!N15</f>
        <v>0</v>
      </c>
      <c r="O16" s="39">
        <f t="shared" si="0"/>
        <v>61.285000000000004</v>
      </c>
      <c r="P16" s="196"/>
      <c r="R16" s="267"/>
    </row>
    <row r="17" spans="1:18">
      <c r="A17" s="8">
        <f t="shared" si="1"/>
        <v>5</v>
      </c>
      <c r="B17" s="5" t="s">
        <v>362</v>
      </c>
      <c r="C17" s="39">
        <v>423000</v>
      </c>
      <c r="D17" s="39">
        <v>423000</v>
      </c>
      <c r="E17" s="39">
        <v>423000</v>
      </c>
      <c r="F17" s="39">
        <v>423000</v>
      </c>
      <c r="G17" s="39">
        <v>423000</v>
      </c>
      <c r="H17" s="39">
        <v>423000</v>
      </c>
      <c r="I17" s="39">
        <v>423000</v>
      </c>
      <c r="J17" s="39">
        <v>423000</v>
      </c>
      <c r="K17" s="39">
        <v>423000</v>
      </c>
      <c r="L17" s="39">
        <v>423000</v>
      </c>
      <c r="M17" s="39">
        <v>423000</v>
      </c>
      <c r="N17" s="39">
        <v>423000</v>
      </c>
      <c r="O17" s="39">
        <f>SUM(C17:N17)</f>
        <v>5076000</v>
      </c>
      <c r="P17" s="296"/>
      <c r="Q17" s="296"/>
      <c r="R17" s="196"/>
    </row>
    <row r="18" spans="1:18">
      <c r="A18" s="8">
        <f t="shared" si="1"/>
        <v>6</v>
      </c>
      <c r="B18" s="5" t="s">
        <v>363</v>
      </c>
      <c r="C18" s="39">
        <f>'C.2.3 B'!F17</f>
        <v>0</v>
      </c>
      <c r="D18" s="39">
        <f>'C.2.3 B'!G17</f>
        <v>0</v>
      </c>
      <c r="E18" s="39">
        <f>'C.2.3 B'!H17</f>
        <v>52130.400000000001</v>
      </c>
      <c r="F18" s="39">
        <f>'C.2.3 B'!I17</f>
        <v>0</v>
      </c>
      <c r="G18" s="39">
        <f>'C.2.3 B'!J17</f>
        <v>0</v>
      </c>
      <c r="H18" s="39">
        <f>'C.2.3 B'!K17</f>
        <v>0</v>
      </c>
      <c r="I18" s="39">
        <f>'C.2.3 B'!L17</f>
        <v>0</v>
      </c>
      <c r="J18" s="39">
        <f>'C.2.3 B'!M17</f>
        <v>0</v>
      </c>
      <c r="K18" s="39">
        <f>'C.2.3 B'!N17</f>
        <v>0</v>
      </c>
      <c r="L18" s="39">
        <f>'C.2.3 B'!C17</f>
        <v>0</v>
      </c>
      <c r="M18" s="39">
        <f>'C.2.3 B'!D17</f>
        <v>0</v>
      </c>
      <c r="N18" s="39">
        <f>'C.2.3 B'!E17</f>
        <v>30150.68</v>
      </c>
      <c r="O18" s="39">
        <f t="shared" si="0"/>
        <v>82281.08</v>
      </c>
      <c r="Q18" s="297"/>
    </row>
    <row r="19" spans="1:18">
      <c r="A19" s="8">
        <f t="shared" si="1"/>
        <v>7</v>
      </c>
      <c r="B19" s="5" t="s">
        <v>364</v>
      </c>
      <c r="C19" s="39">
        <f>'C.2.3 B'!F18</f>
        <v>37106.720000000001</v>
      </c>
      <c r="D19" s="39">
        <f>'C.2.3 B'!G18</f>
        <v>42</v>
      </c>
      <c r="E19" s="39">
        <f>'C.2.3 B'!H18</f>
        <v>0</v>
      </c>
      <c r="F19" s="39">
        <f>'C.2.3 B'!I18</f>
        <v>17415</v>
      </c>
      <c r="G19" s="39">
        <f>'C.2.3 B'!J18</f>
        <v>192</v>
      </c>
      <c r="H19" s="39">
        <f>'C.2.3 B'!K18</f>
        <v>47279</v>
      </c>
      <c r="I19" s="39">
        <f>'C.2.3 B'!L18</f>
        <v>12215</v>
      </c>
      <c r="J19" s="39">
        <f>'C.2.3 B'!M18</f>
        <v>64</v>
      </c>
      <c r="K19" s="39">
        <f>'C.2.3 B'!N18</f>
        <v>873</v>
      </c>
      <c r="L19" s="39">
        <f>'C.2.3 B'!C18</f>
        <v>19080.940000000002</v>
      </c>
      <c r="M19" s="39">
        <f>'C.2.3 B'!D18</f>
        <v>0</v>
      </c>
      <c r="N19" s="39">
        <f>'C.2.3 B'!E18</f>
        <v>158.94999999999999</v>
      </c>
      <c r="O19" s="39">
        <f t="shared" si="0"/>
        <v>134426.61000000002</v>
      </c>
      <c r="P19" s="196"/>
      <c r="Q19" s="297"/>
    </row>
    <row r="20" spans="1:18">
      <c r="A20" s="8">
        <f t="shared" si="1"/>
        <v>8</v>
      </c>
      <c r="B20" s="5" t="s">
        <v>365</v>
      </c>
      <c r="C20" s="39">
        <f>$O20/12</f>
        <v>28397.969559932972</v>
      </c>
      <c r="D20" s="39">
        <f>C20</f>
        <v>28397.969559932972</v>
      </c>
      <c r="E20" s="39">
        <f t="shared" ref="E20:N20" si="2">D20</f>
        <v>28397.969559932972</v>
      </c>
      <c r="F20" s="39">
        <f t="shared" si="2"/>
        <v>28397.969559932972</v>
      </c>
      <c r="G20" s="39">
        <f t="shared" si="2"/>
        <v>28397.969559932972</v>
      </c>
      <c r="H20" s="39">
        <f t="shared" si="2"/>
        <v>28397.969559932972</v>
      </c>
      <c r="I20" s="39">
        <f t="shared" si="2"/>
        <v>28397.969559932972</v>
      </c>
      <c r="J20" s="39">
        <f t="shared" si="2"/>
        <v>28397.969559932972</v>
      </c>
      <c r="K20" s="39">
        <f t="shared" si="2"/>
        <v>28397.969559932972</v>
      </c>
      <c r="L20" s="39">
        <f t="shared" si="2"/>
        <v>28397.969559932972</v>
      </c>
      <c r="M20" s="39">
        <f t="shared" si="2"/>
        <v>28397.969559932972</v>
      </c>
      <c r="N20" s="39">
        <f t="shared" si="2"/>
        <v>28397.969559932972</v>
      </c>
      <c r="O20" s="39">
        <v>340775.63471919566</v>
      </c>
      <c r="P20" s="298"/>
      <c r="Q20" s="196"/>
      <c r="R20" s="196"/>
    </row>
    <row r="21" spans="1:18">
      <c r="A21" s="8">
        <f t="shared" si="1"/>
        <v>9</v>
      </c>
      <c r="B21" s="5" t="s">
        <v>366</v>
      </c>
      <c r="C21" s="39">
        <f>C53</f>
        <v>11736.866354638472</v>
      </c>
      <c r="D21" s="39">
        <f t="shared" ref="D21:N21" si="3">D53</f>
        <v>15879.964904618653</v>
      </c>
      <c r="E21" s="39">
        <f t="shared" si="3"/>
        <v>11626.521061010399</v>
      </c>
      <c r="F21" s="39">
        <f t="shared" si="3"/>
        <v>9731.053361637707</v>
      </c>
      <c r="G21" s="39">
        <f t="shared" si="3"/>
        <v>9731.053361637707</v>
      </c>
      <c r="H21" s="39">
        <f t="shared" si="3"/>
        <v>9731.053361637707</v>
      </c>
      <c r="I21" s="39">
        <f t="shared" si="3"/>
        <v>10274.837593185417</v>
      </c>
      <c r="J21" s="39">
        <f t="shared" si="3"/>
        <v>10274.837593185417</v>
      </c>
      <c r="K21" s="39">
        <f t="shared" si="3"/>
        <v>10274.837593185417</v>
      </c>
      <c r="L21" s="39">
        <f t="shared" si="3"/>
        <v>17946.769514222971</v>
      </c>
      <c r="M21" s="39">
        <f t="shared" si="3"/>
        <v>16443.790015699869</v>
      </c>
      <c r="N21" s="39">
        <f t="shared" si="3"/>
        <v>13562.352044133386</v>
      </c>
      <c r="O21" s="39">
        <f t="shared" si="0"/>
        <v>147213.93675879313</v>
      </c>
      <c r="P21" s="296"/>
      <c r="Q21" s="196"/>
    </row>
    <row r="22" spans="1:18">
      <c r="A22" s="8">
        <f t="shared" si="1"/>
        <v>10</v>
      </c>
      <c r="B22" s="5" t="s">
        <v>367</v>
      </c>
      <c r="C22" s="39">
        <f>C40</f>
        <v>17443.086679145817</v>
      </c>
      <c r="D22" s="39">
        <f t="shared" ref="D22:N22" si="4">D40</f>
        <v>23580.843203682558</v>
      </c>
      <c r="E22" s="39">
        <f t="shared" si="4"/>
        <v>17415.925382948666</v>
      </c>
      <c r="F22" s="39">
        <f t="shared" si="4"/>
        <v>14492.376855488626</v>
      </c>
      <c r="G22" s="39">
        <f t="shared" si="4"/>
        <v>14492.376855488626</v>
      </c>
      <c r="H22" s="39">
        <f t="shared" si="4"/>
        <v>14492.376855488626</v>
      </c>
      <c r="I22" s="39">
        <f t="shared" si="4"/>
        <v>15264.11331073052</v>
      </c>
      <c r="J22" s="39">
        <f t="shared" si="4"/>
        <v>15264.11331073052</v>
      </c>
      <c r="K22" s="39">
        <f t="shared" si="4"/>
        <v>15264.11331073052</v>
      </c>
      <c r="L22" s="39">
        <f t="shared" si="4"/>
        <v>25022.073234556614</v>
      </c>
      <c r="M22" s="39">
        <f t="shared" si="4"/>
        <v>22554.145748736646</v>
      </c>
      <c r="N22" s="39">
        <f t="shared" si="4"/>
        <v>18890.173654462524</v>
      </c>
      <c r="O22" s="39">
        <f t="shared" si="0"/>
        <v>214175.71840219031</v>
      </c>
      <c r="P22" s="296"/>
      <c r="Q22" s="196"/>
    </row>
    <row r="23" spans="1:18">
      <c r="A23" s="8">
        <f t="shared" si="1"/>
        <v>11</v>
      </c>
      <c r="B23" s="5" t="s">
        <v>368</v>
      </c>
      <c r="C23" s="39">
        <f>C68</f>
        <v>10921.460587152462</v>
      </c>
      <c r="D23" s="39">
        <f t="shared" ref="D23:N23" si="5">D68</f>
        <v>17194.97071060527</v>
      </c>
      <c r="E23" s="39">
        <f t="shared" si="5"/>
        <v>15520.818688557711</v>
      </c>
      <c r="F23" s="39">
        <f t="shared" si="5"/>
        <v>11785.048403074456</v>
      </c>
      <c r="G23" s="39">
        <f t="shared" si="5"/>
        <v>11785.048403074456</v>
      </c>
      <c r="H23" s="39">
        <f t="shared" si="5"/>
        <v>11785.048403074456</v>
      </c>
      <c r="I23" s="39">
        <f t="shared" si="5"/>
        <v>12615.017716284854</v>
      </c>
      <c r="J23" s="39">
        <f t="shared" si="5"/>
        <v>12615.017716284854</v>
      </c>
      <c r="K23" s="39">
        <f t="shared" si="5"/>
        <v>12615.017716284854</v>
      </c>
      <c r="L23" s="39">
        <f t="shared" si="5"/>
        <v>56760.079901263758</v>
      </c>
      <c r="M23" s="39">
        <f t="shared" si="5"/>
        <v>10163.314520065634</v>
      </c>
      <c r="N23" s="39">
        <f t="shared" si="5"/>
        <v>4447.4453299111365</v>
      </c>
      <c r="O23" s="39">
        <f t="shared" si="0"/>
        <v>188208.28809563391</v>
      </c>
      <c r="P23" s="296"/>
      <c r="Q23" s="196"/>
    </row>
    <row r="24" spans="1:18">
      <c r="A24" s="8">
        <f t="shared" si="1"/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8">
      <c r="A25" s="8">
        <f t="shared" si="1"/>
        <v>13</v>
      </c>
      <c r="B25" s="5" t="s">
        <v>241</v>
      </c>
      <c r="C25" s="291">
        <f t="shared" ref="C25:N25" si="6">SUM(C13:C24)</f>
        <v>550586.6739808697</v>
      </c>
      <c r="D25" s="291">
        <f t="shared" si="6"/>
        <v>530194.97517883952</v>
      </c>
      <c r="E25" s="291">
        <f t="shared" si="6"/>
        <v>568734.55479244981</v>
      </c>
      <c r="F25" s="291">
        <f t="shared" si="6"/>
        <v>547943.42818013369</v>
      </c>
      <c r="G25" s="291">
        <f t="shared" si="6"/>
        <v>504176.29818013369</v>
      </c>
      <c r="H25" s="291">
        <f t="shared" si="6"/>
        <v>580631.68818013382</v>
      </c>
      <c r="I25" s="291">
        <f t="shared" si="6"/>
        <v>523733.74818013376</v>
      </c>
      <c r="J25" s="291">
        <f t="shared" si="6"/>
        <v>559394.31818013371</v>
      </c>
      <c r="K25" s="291">
        <f t="shared" si="6"/>
        <v>502875.57818013371</v>
      </c>
      <c r="L25" s="291">
        <f t="shared" si="6"/>
        <v>612476.13574697636</v>
      </c>
      <c r="M25" s="291">
        <f t="shared" si="6"/>
        <v>528446.9708364351</v>
      </c>
      <c r="N25" s="291">
        <f t="shared" si="6"/>
        <v>557250.8955244401</v>
      </c>
      <c r="O25" s="291">
        <f>SUM(C25:N25)</f>
        <v>6566445.2651408128</v>
      </c>
      <c r="P25" s="297"/>
    </row>
    <row r="26" spans="1:18">
      <c r="A26" s="8">
        <f t="shared" si="1"/>
        <v>14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8" ht="15.75">
      <c r="A27" s="8">
        <f t="shared" si="1"/>
        <v>15</v>
      </c>
      <c r="B27" s="288" t="s">
        <v>369</v>
      </c>
    </row>
    <row r="28" spans="1:18">
      <c r="A28" s="8">
        <f t="shared" si="1"/>
        <v>16</v>
      </c>
      <c r="B28" s="5" t="s">
        <v>358</v>
      </c>
      <c r="C28" s="289">
        <f>'C.2.3 B'!F27*1.03</f>
        <v>265133.42270000011</v>
      </c>
      <c r="D28" s="289">
        <f>'C.2.3 B'!G27*1.03</f>
        <v>381294.89660000009</v>
      </c>
      <c r="E28" s="289">
        <f>'C.2.3 B'!H27*1.03</f>
        <v>263864.09190000012</v>
      </c>
      <c r="F28" s="289">
        <f>'C.2.3 B'!I27*1.03</f>
        <v>197340.40795472829</v>
      </c>
      <c r="G28" s="289">
        <f>'C.2.3 B'!J27*1.03</f>
        <v>197340.40795472829</v>
      </c>
      <c r="H28" s="289">
        <f>'C.2.3 B'!K27*1.03</f>
        <v>197340.40795472829</v>
      </c>
      <c r="I28" s="289">
        <f>'C.2.3 B'!L27*1.03</f>
        <v>211354.48908652144</v>
      </c>
      <c r="J28" s="289">
        <f>'C.2.3 B'!M27*1.03</f>
        <v>211354.48908652144</v>
      </c>
      <c r="K28" s="289">
        <f>'C.2.3 B'!N27*1.03</f>
        <v>211354.48908652144</v>
      </c>
      <c r="L28" s="289">
        <f>'C.2.3 B'!C27*1.03*1.03</f>
        <v>398598.0486010001</v>
      </c>
      <c r="M28" s="289">
        <f>'C.2.3 B'!D27*1.03*1.03</f>
        <v>351147.17430100002</v>
      </c>
      <c r="N28" s="289">
        <f>'C.2.3 B'!E27*1.03*1.03</f>
        <v>280699.93454900017</v>
      </c>
      <c r="O28" s="289">
        <f t="shared" ref="O28:O35" si="7">SUM(C28:N28)</f>
        <v>3166822.2597747492</v>
      </c>
    </row>
    <row r="29" spans="1:18">
      <c r="A29" s="8">
        <f t="shared" si="1"/>
        <v>17</v>
      </c>
      <c r="B29" s="5" t="s">
        <v>359</v>
      </c>
      <c r="C29" s="39">
        <f>'C.2.3 B'!F28*1.03</f>
        <v>41.004299999999944</v>
      </c>
      <c r="D29" s="39">
        <f>'C.2.3 B'!G28*1.03</f>
        <v>682.92089999999996</v>
      </c>
      <c r="E29" s="39">
        <f>'C.2.3 B'!H28*1.03</f>
        <v>279.78920000000005</v>
      </c>
      <c r="F29" s="39">
        <f>'C.2.3 B'!I28*1.03</f>
        <v>3132.4625177882217</v>
      </c>
      <c r="G29" s="39">
        <f>'C.2.3 B'!J28*1.03</f>
        <v>3132.4625177882217</v>
      </c>
      <c r="H29" s="39">
        <f>'C.2.3 B'!K28*1.03</f>
        <v>3132.4625177882217</v>
      </c>
      <c r="I29" s="39">
        <f>'C.2.3 B'!L28*1.03</f>
        <v>3354.9135825324265</v>
      </c>
      <c r="J29" s="39">
        <f>'C.2.3 B'!M28*1.03</f>
        <v>3354.9135825324265</v>
      </c>
      <c r="K29" s="39">
        <f>'C.2.3 B'!N28*1.03</f>
        <v>3354.9135825324265</v>
      </c>
      <c r="L29" s="39">
        <f>'C.2.3 B'!L28*1.03*1.03</f>
        <v>3455.5609900083996</v>
      </c>
      <c r="M29" s="39">
        <f>'C.2.3 B'!M28*1.03*1.03</f>
        <v>3455.5609900083996</v>
      </c>
      <c r="N29" s="39">
        <f>'C.2.3 B'!N28*1.03*1.03</f>
        <v>3455.5609900083996</v>
      </c>
      <c r="O29" s="39">
        <f t="shared" si="7"/>
        <v>30832.525670987139</v>
      </c>
    </row>
    <row r="30" spans="1:18">
      <c r="A30" s="8">
        <f t="shared" si="1"/>
        <v>18</v>
      </c>
      <c r="B30" s="5" t="s">
        <v>360</v>
      </c>
      <c r="C30" s="39">
        <f>'C.2.3 B'!F29*1.03</f>
        <v>504.03050000000042</v>
      </c>
      <c r="D30" s="39">
        <f>'C.2.3 B'!G29*1.03</f>
        <v>1711.3655999999999</v>
      </c>
      <c r="E30" s="39">
        <f>'C.2.3 B'!H29*1.03</f>
        <v>1012.3457999999998</v>
      </c>
      <c r="F30" s="39">
        <f>'C.2.3 B'!I29*1.03</f>
        <v>8472.2503542573941</v>
      </c>
      <c r="G30" s="39">
        <f>'C.2.3 B'!J29*1.03</f>
        <v>8472.2503542573941</v>
      </c>
      <c r="H30" s="39">
        <f>'C.2.3 B'!K29*1.03</f>
        <v>8472.2503542573941</v>
      </c>
      <c r="I30" s="39">
        <f>'C.2.3 B'!L29*1.03</f>
        <v>9073.9051550352669</v>
      </c>
      <c r="J30" s="39">
        <f>'C.2.3 B'!M29*1.03</f>
        <v>9073.9051550352669</v>
      </c>
      <c r="K30" s="39">
        <f>'C.2.3 B'!N29*1.03</f>
        <v>9073.9051550352669</v>
      </c>
      <c r="L30" s="39">
        <f>'C.2.3 B'!L29*1.03*1.03</f>
        <v>9346.122309686325</v>
      </c>
      <c r="M30" s="39">
        <f>'C.2.3 B'!M29*1.03*1.03</f>
        <v>9346.122309686325</v>
      </c>
      <c r="N30" s="39">
        <f>'C.2.3 B'!N29*1.03*1.03</f>
        <v>9346.122309686325</v>
      </c>
      <c r="O30" s="39">
        <f t="shared" si="7"/>
        <v>83904.575356936955</v>
      </c>
    </row>
    <row r="31" spans="1:18">
      <c r="A31" s="8">
        <f t="shared" si="1"/>
        <v>19</v>
      </c>
      <c r="B31" s="5" t="s">
        <v>370</v>
      </c>
      <c r="C31" s="39">
        <v>69700</v>
      </c>
      <c r="D31" s="39">
        <v>69700</v>
      </c>
      <c r="E31" s="39">
        <v>69700</v>
      </c>
      <c r="F31" s="39">
        <v>69700</v>
      </c>
      <c r="G31" s="39">
        <v>69700</v>
      </c>
      <c r="H31" s="39">
        <v>69700</v>
      </c>
      <c r="I31" s="39">
        <v>69700</v>
      </c>
      <c r="J31" s="39">
        <v>69700</v>
      </c>
      <c r="K31" s="39">
        <v>69700</v>
      </c>
      <c r="L31" s="39">
        <v>69700</v>
      </c>
      <c r="M31" s="39">
        <v>69700</v>
      </c>
      <c r="N31" s="39">
        <v>69700</v>
      </c>
      <c r="O31" s="39">
        <f>SUM(C31:N31)</f>
        <v>836400</v>
      </c>
      <c r="P31" s="296"/>
      <c r="Q31" s="296"/>
      <c r="R31" s="196"/>
    </row>
    <row r="32" spans="1:18">
      <c r="A32" s="8">
        <f t="shared" si="1"/>
        <v>20</v>
      </c>
      <c r="B32" s="5" t="s">
        <v>371</v>
      </c>
      <c r="C32" s="39">
        <f>'C.2.3 B'!N31</f>
        <v>0</v>
      </c>
      <c r="D32" s="39">
        <f>C32</f>
        <v>0</v>
      </c>
      <c r="E32" s="39">
        <f t="shared" ref="E32:N33" si="8">D32</f>
        <v>0</v>
      </c>
      <c r="F32" s="39">
        <f t="shared" si="8"/>
        <v>0</v>
      </c>
      <c r="G32" s="39">
        <f t="shared" si="8"/>
        <v>0</v>
      </c>
      <c r="H32" s="39">
        <f t="shared" si="8"/>
        <v>0</v>
      </c>
      <c r="I32" s="39">
        <f t="shared" si="8"/>
        <v>0</v>
      </c>
      <c r="J32" s="39">
        <f t="shared" si="8"/>
        <v>0</v>
      </c>
      <c r="K32" s="39">
        <f t="shared" si="8"/>
        <v>0</v>
      </c>
      <c r="L32" s="39">
        <f t="shared" si="8"/>
        <v>0</v>
      </c>
      <c r="M32" s="39">
        <f t="shared" si="8"/>
        <v>0</v>
      </c>
      <c r="N32" s="39">
        <f t="shared" si="8"/>
        <v>0</v>
      </c>
      <c r="O32" s="39">
        <f t="shared" si="7"/>
        <v>0</v>
      </c>
    </row>
    <row r="33" spans="1:18">
      <c r="A33" s="8">
        <f t="shared" si="1"/>
        <v>21</v>
      </c>
      <c r="B33" s="5" t="s">
        <v>372</v>
      </c>
      <c r="C33" s="39">
        <f>'C.2.3 B'!N32</f>
        <v>0</v>
      </c>
      <c r="D33" s="39">
        <f>C33</f>
        <v>0</v>
      </c>
      <c r="E33" s="39">
        <f t="shared" si="8"/>
        <v>0</v>
      </c>
      <c r="F33" s="39">
        <f t="shared" si="8"/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0</v>
      </c>
      <c r="K33" s="39">
        <f t="shared" si="8"/>
        <v>0</v>
      </c>
      <c r="L33" s="39">
        <f t="shared" si="8"/>
        <v>0</v>
      </c>
      <c r="M33" s="39">
        <f t="shared" si="8"/>
        <v>0</v>
      </c>
      <c r="N33" s="39">
        <f t="shared" si="8"/>
        <v>0</v>
      </c>
      <c r="O33" s="39">
        <f t="shared" si="7"/>
        <v>0</v>
      </c>
    </row>
    <row r="34" spans="1:18">
      <c r="A34" s="8">
        <f t="shared" si="1"/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8">
      <c r="A35" s="8">
        <f t="shared" si="1"/>
        <v>23</v>
      </c>
      <c r="B35" s="5" t="s">
        <v>373</v>
      </c>
      <c r="C35" s="291">
        <f t="shared" ref="C35:N35" si="9">SUM(C28:C34)</f>
        <v>335378.45750000008</v>
      </c>
      <c r="D35" s="291">
        <f t="shared" si="9"/>
        <v>453389.18310000014</v>
      </c>
      <c r="E35" s="291">
        <f t="shared" si="9"/>
        <v>334856.22690000013</v>
      </c>
      <c r="F35" s="291">
        <f t="shared" si="9"/>
        <v>278645.12082677393</v>
      </c>
      <c r="G35" s="291">
        <f t="shared" si="9"/>
        <v>278645.12082677393</v>
      </c>
      <c r="H35" s="291">
        <f t="shared" si="9"/>
        <v>278645.12082677393</v>
      </c>
      <c r="I35" s="291">
        <f t="shared" si="9"/>
        <v>293483.30782408913</v>
      </c>
      <c r="J35" s="291">
        <f t="shared" si="9"/>
        <v>293483.30782408913</v>
      </c>
      <c r="K35" s="291">
        <f t="shared" si="9"/>
        <v>293483.30782408913</v>
      </c>
      <c r="L35" s="291">
        <f t="shared" si="9"/>
        <v>481099.73190069484</v>
      </c>
      <c r="M35" s="291">
        <f t="shared" si="9"/>
        <v>433648.85760069476</v>
      </c>
      <c r="N35" s="291">
        <f t="shared" si="9"/>
        <v>363201.61784869491</v>
      </c>
      <c r="O35" s="291">
        <f t="shared" si="7"/>
        <v>4117959.3608026742</v>
      </c>
    </row>
    <row r="36" spans="1:18">
      <c r="A36" s="8">
        <f t="shared" si="1"/>
        <v>24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8">
      <c r="A37" s="8">
        <f t="shared" si="1"/>
        <v>25</v>
      </c>
      <c r="B37" s="5" t="s">
        <v>374</v>
      </c>
      <c r="C37" s="284">
        <v>0.10349999999999999</v>
      </c>
      <c r="D37" s="284">
        <f>$C$37</f>
        <v>0.10349999999999999</v>
      </c>
      <c r="E37" s="284">
        <f t="shared" ref="E37:N37" si="10">$C$37</f>
        <v>0.10349999999999999</v>
      </c>
      <c r="F37" s="284">
        <f t="shared" si="10"/>
        <v>0.10349999999999999</v>
      </c>
      <c r="G37" s="284">
        <f t="shared" si="10"/>
        <v>0.10349999999999999</v>
      </c>
      <c r="H37" s="284">
        <f t="shared" si="10"/>
        <v>0.10349999999999999</v>
      </c>
      <c r="I37" s="284">
        <f t="shared" si="10"/>
        <v>0.10349999999999999</v>
      </c>
      <c r="J37" s="284">
        <f t="shared" si="10"/>
        <v>0.10349999999999999</v>
      </c>
      <c r="K37" s="284">
        <f t="shared" si="10"/>
        <v>0.10349999999999999</v>
      </c>
      <c r="L37" s="284">
        <f t="shared" si="10"/>
        <v>0.10349999999999999</v>
      </c>
      <c r="M37" s="284">
        <f t="shared" si="10"/>
        <v>0.10349999999999999</v>
      </c>
      <c r="N37" s="284">
        <f t="shared" si="10"/>
        <v>0.10349999999999999</v>
      </c>
    </row>
    <row r="38" spans="1:18">
      <c r="A38" s="8">
        <f t="shared" si="1"/>
        <v>26</v>
      </c>
      <c r="B38" s="5" t="s">
        <v>375</v>
      </c>
      <c r="C38" s="255">
        <v>0.5025136071712456</v>
      </c>
      <c r="D38" s="255">
        <f>$C$38</f>
        <v>0.5025136071712456</v>
      </c>
      <c r="E38" s="255">
        <f t="shared" ref="E38:N38" si="11">$C$38</f>
        <v>0.5025136071712456</v>
      </c>
      <c r="F38" s="255">
        <f t="shared" si="11"/>
        <v>0.5025136071712456</v>
      </c>
      <c r="G38" s="255">
        <f t="shared" si="11"/>
        <v>0.5025136071712456</v>
      </c>
      <c r="H38" s="255">
        <f t="shared" si="11"/>
        <v>0.5025136071712456</v>
      </c>
      <c r="I38" s="255">
        <f t="shared" si="11"/>
        <v>0.5025136071712456</v>
      </c>
      <c r="J38" s="255">
        <f t="shared" si="11"/>
        <v>0.5025136071712456</v>
      </c>
      <c r="K38" s="255">
        <f t="shared" si="11"/>
        <v>0.5025136071712456</v>
      </c>
      <c r="L38" s="255">
        <f t="shared" si="11"/>
        <v>0.5025136071712456</v>
      </c>
      <c r="M38" s="255">
        <f t="shared" si="11"/>
        <v>0.5025136071712456</v>
      </c>
      <c r="N38" s="255">
        <f t="shared" si="11"/>
        <v>0.5025136071712456</v>
      </c>
    </row>
    <row r="39" spans="1:18">
      <c r="A39" s="8">
        <f t="shared" si="1"/>
        <v>27</v>
      </c>
    </row>
    <row r="40" spans="1:18">
      <c r="A40" s="8">
        <f t="shared" si="1"/>
        <v>28</v>
      </c>
      <c r="B40" s="5" t="s">
        <v>380</v>
      </c>
      <c r="C40" s="299">
        <f t="shared" ref="C40:N40" si="12">C35*C37*C38</f>
        <v>17443.086679145817</v>
      </c>
      <c r="D40" s="299">
        <f t="shared" si="12"/>
        <v>23580.843203682558</v>
      </c>
      <c r="E40" s="299">
        <f t="shared" si="12"/>
        <v>17415.925382948666</v>
      </c>
      <c r="F40" s="299">
        <f t="shared" si="12"/>
        <v>14492.376855488626</v>
      </c>
      <c r="G40" s="299">
        <f t="shared" si="12"/>
        <v>14492.376855488626</v>
      </c>
      <c r="H40" s="299">
        <f t="shared" si="12"/>
        <v>14492.376855488626</v>
      </c>
      <c r="I40" s="299">
        <f t="shared" si="12"/>
        <v>15264.11331073052</v>
      </c>
      <c r="J40" s="299">
        <f t="shared" si="12"/>
        <v>15264.11331073052</v>
      </c>
      <c r="K40" s="299">
        <f t="shared" si="12"/>
        <v>15264.11331073052</v>
      </c>
      <c r="L40" s="299">
        <f t="shared" si="12"/>
        <v>25022.073234556614</v>
      </c>
      <c r="M40" s="299">
        <f t="shared" si="12"/>
        <v>22554.145748736646</v>
      </c>
      <c r="N40" s="299">
        <f t="shared" si="12"/>
        <v>18890.173654462524</v>
      </c>
      <c r="O40" s="291">
        <f>SUM(C40:N40)</f>
        <v>214175.71840219031</v>
      </c>
    </row>
    <row r="41" spans="1:18">
      <c r="A41" s="8">
        <f t="shared" si="1"/>
        <v>29</v>
      </c>
    </row>
    <row r="42" spans="1:18" ht="15.75">
      <c r="A42" s="8">
        <f t="shared" si="1"/>
        <v>30</v>
      </c>
      <c r="B42" s="288" t="s">
        <v>376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</row>
    <row r="43" spans="1:18">
      <c r="A43" s="8">
        <f t="shared" si="1"/>
        <v>31</v>
      </c>
      <c r="B43" s="5" t="s">
        <v>358</v>
      </c>
      <c r="C43" s="289">
        <f>'C.2.3 B'!F42*1.03</f>
        <v>154100.86470000001</v>
      </c>
      <c r="D43" s="289">
        <f>'C.2.3 B'!G42*1.03</f>
        <v>226005.56640000001</v>
      </c>
      <c r="E43" s="289">
        <f>'C.2.3 B'!H42*1.03</f>
        <v>151677.68670000002</v>
      </c>
      <c r="F43" s="289">
        <f>'C.2.3 B'!I42*1.03</f>
        <v>112379.52837791362</v>
      </c>
      <c r="G43" s="289">
        <f>'C.2.3 B'!J42*1.03</f>
        <v>112379.52837791362</v>
      </c>
      <c r="H43" s="289">
        <f>'C.2.3 B'!K42*1.03</f>
        <v>112379.52837791362</v>
      </c>
      <c r="I43" s="289">
        <f>'C.2.3 B'!L42*1.03</f>
        <v>121435.36645291798</v>
      </c>
      <c r="J43" s="289">
        <f>'C.2.3 B'!M42*1.03</f>
        <v>121435.36645291798</v>
      </c>
      <c r="K43" s="289">
        <f>'C.2.3 B'!N42*1.03</f>
        <v>121435.36645291798</v>
      </c>
      <c r="L43" s="289">
        <f>'C.2.3 B'!C42*1.03*1.03</f>
        <v>211890.215165</v>
      </c>
      <c r="M43" s="289">
        <f>'C.2.3 B'!D42*1.03*1.03</f>
        <v>219248.18259600003</v>
      </c>
      <c r="N43" s="289">
        <f>'C.2.3 B'!E42*1.03*1.03</f>
        <v>190318.924856</v>
      </c>
      <c r="O43" s="289">
        <f t="shared" ref="O43:O48" si="13">SUM(C43:N43)</f>
        <v>1854686.124909495</v>
      </c>
      <c r="P43" s="196"/>
    </row>
    <row r="44" spans="1:18">
      <c r="A44" s="8">
        <f t="shared" si="1"/>
        <v>32</v>
      </c>
      <c r="B44" s="5" t="s">
        <v>359</v>
      </c>
      <c r="C44" s="289">
        <f>'C.2.3 B'!F43*1.03</f>
        <v>12.679300000000003</v>
      </c>
      <c r="D44" s="289">
        <f>'C.2.3 B'!G43*1.03</f>
        <v>405.5625</v>
      </c>
      <c r="E44" s="289">
        <f>'C.2.3 B'!H43*1.03</f>
        <v>160.2886</v>
      </c>
      <c r="F44" s="289">
        <f>'C.2.3 B'!I43*1.03</f>
        <v>1769.6079651996758</v>
      </c>
      <c r="G44" s="289">
        <f>'C.2.3 B'!J43*1.03</f>
        <v>1769.6079651996758</v>
      </c>
      <c r="H44" s="289">
        <f>'C.2.3 B'!K43*1.03</f>
        <v>1769.6079651996758</v>
      </c>
      <c r="I44" s="289">
        <f>'C.2.3 B'!L43*1.03</f>
        <v>1912.20763099642</v>
      </c>
      <c r="J44" s="289">
        <f>'C.2.3 B'!M43*1.03</f>
        <v>1912.20763099642</v>
      </c>
      <c r="K44" s="289">
        <f>'C.2.3 B'!N43*1.03</f>
        <v>1912.20763099642</v>
      </c>
      <c r="L44" s="289">
        <f>'C.2.3 B'!C43*1.03*1.03</f>
        <v>18017.073738000003</v>
      </c>
      <c r="M44" s="289">
        <f>'C.2.3 B'!D43*1.03*1.03</f>
        <v>306.32426599999974</v>
      </c>
      <c r="N44" s="289">
        <f>'C.2.3 B'!E43*1.03*1.03</f>
        <v>-508.30901699999987</v>
      </c>
      <c r="O44" s="39">
        <f t="shared" si="13"/>
        <v>29439.06617558829</v>
      </c>
    </row>
    <row r="45" spans="1:18">
      <c r="A45" s="8">
        <f t="shared" si="1"/>
        <v>33</v>
      </c>
      <c r="B45" s="5" t="s">
        <v>360</v>
      </c>
      <c r="C45" s="289">
        <f>'C.2.3 B'!F44*1.03</f>
        <v>252.79290000000006</v>
      </c>
      <c r="D45" s="289">
        <f>'C.2.3 B'!G44*1.03</f>
        <v>1014.0556</v>
      </c>
      <c r="E45" s="289">
        <f>'C.2.3 B'!H44*1.03</f>
        <v>582.54740000000015</v>
      </c>
      <c r="F45" s="289">
        <f>'C.2.3 B'!I44*1.03</f>
        <v>4846.9615915490667</v>
      </c>
      <c r="G45" s="289">
        <f>'C.2.3 B'!J44*1.03</f>
        <v>4846.9615915490667</v>
      </c>
      <c r="H45" s="289">
        <f>'C.2.3 B'!K44*1.03</f>
        <v>4846.9615915490667</v>
      </c>
      <c r="I45" s="289">
        <f>'C.2.3 B'!L44*1.03</f>
        <v>5237.5425092872847</v>
      </c>
      <c r="J45" s="289">
        <f>'C.2.3 B'!M44*1.03</f>
        <v>5237.5425092872847</v>
      </c>
      <c r="K45" s="289">
        <f>'C.2.3 B'!N44*1.03</f>
        <v>5237.5425092872847</v>
      </c>
      <c r="L45" s="289">
        <f>'C.2.3 B'!C44*1.03*1.03</f>
        <v>33963.652600000001</v>
      </c>
      <c r="M45" s="289">
        <f>'C.2.3 B'!D44*1.03*1.03</f>
        <v>17813.094494999998</v>
      </c>
      <c r="N45" s="289">
        <f>'C.2.3 B'!E44*1.03*1.03</f>
        <v>-3253.9076080000013</v>
      </c>
      <c r="O45" s="39">
        <f t="shared" si="13"/>
        <v>80625.747689509037</v>
      </c>
    </row>
    <row r="46" spans="1:18">
      <c r="A46" s="8">
        <f t="shared" si="1"/>
        <v>34</v>
      </c>
      <c r="B46" s="5" t="s">
        <v>370</v>
      </c>
      <c r="C46" s="39">
        <v>52600</v>
      </c>
      <c r="D46" s="39">
        <f>C46</f>
        <v>52600</v>
      </c>
      <c r="E46" s="39">
        <f t="shared" ref="E46:N46" si="14">D46</f>
        <v>52600</v>
      </c>
      <c r="F46" s="39">
        <f t="shared" si="14"/>
        <v>52600</v>
      </c>
      <c r="G46" s="39">
        <f t="shared" si="14"/>
        <v>52600</v>
      </c>
      <c r="H46" s="39">
        <f t="shared" si="14"/>
        <v>52600</v>
      </c>
      <c r="I46" s="39">
        <f t="shared" si="14"/>
        <v>52600</v>
      </c>
      <c r="J46" s="39">
        <f t="shared" si="14"/>
        <v>52600</v>
      </c>
      <c r="K46" s="39">
        <f t="shared" si="14"/>
        <v>52600</v>
      </c>
      <c r="L46" s="39">
        <f t="shared" si="14"/>
        <v>52600</v>
      </c>
      <c r="M46" s="39">
        <f t="shared" si="14"/>
        <v>52600</v>
      </c>
      <c r="N46" s="39">
        <f t="shared" si="14"/>
        <v>52600</v>
      </c>
      <c r="O46" s="39">
        <f>SUM(C46:N46)</f>
        <v>631200</v>
      </c>
      <c r="P46" s="296"/>
      <c r="Q46" s="296"/>
      <c r="R46" s="196"/>
    </row>
    <row r="47" spans="1:18">
      <c r="A47" s="8">
        <f t="shared" si="1"/>
        <v>35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8">
      <c r="A48" s="8">
        <f t="shared" si="1"/>
        <v>36</v>
      </c>
      <c r="B48" s="5" t="s">
        <v>373</v>
      </c>
      <c r="C48" s="291">
        <f t="shared" ref="C48:N48" si="15">SUM(C43:C46)</f>
        <v>206966.33689999999</v>
      </c>
      <c r="D48" s="291">
        <f t="shared" si="15"/>
        <v>280025.18449999997</v>
      </c>
      <c r="E48" s="291">
        <f t="shared" si="15"/>
        <v>205020.52270000003</v>
      </c>
      <c r="F48" s="291">
        <f t="shared" si="15"/>
        <v>171596.09793466236</v>
      </c>
      <c r="G48" s="291">
        <f t="shared" si="15"/>
        <v>171596.09793466236</v>
      </c>
      <c r="H48" s="291">
        <f t="shared" si="15"/>
        <v>171596.09793466236</v>
      </c>
      <c r="I48" s="291">
        <f t="shared" si="15"/>
        <v>181185.1165932017</v>
      </c>
      <c r="J48" s="291">
        <f t="shared" si="15"/>
        <v>181185.1165932017</v>
      </c>
      <c r="K48" s="291">
        <f t="shared" si="15"/>
        <v>181185.1165932017</v>
      </c>
      <c r="L48" s="291">
        <f t="shared" si="15"/>
        <v>316470.94150299998</v>
      </c>
      <c r="M48" s="291">
        <f t="shared" si="15"/>
        <v>289967.60135700007</v>
      </c>
      <c r="N48" s="291">
        <f t="shared" si="15"/>
        <v>239156.708231</v>
      </c>
      <c r="O48" s="291">
        <f t="shared" si="13"/>
        <v>2595950.9387745922</v>
      </c>
    </row>
    <row r="49" spans="1:18">
      <c r="A49" s="8">
        <f t="shared" si="1"/>
        <v>37</v>
      </c>
    </row>
    <row r="50" spans="1:18">
      <c r="A50" s="8">
        <f t="shared" si="1"/>
        <v>38</v>
      </c>
      <c r="B50" s="5" t="s">
        <v>374</v>
      </c>
      <c r="C50" s="255">
        <v>0.10929999999999999</v>
      </c>
      <c r="D50" s="255">
        <f>$C$50</f>
        <v>0.10929999999999999</v>
      </c>
      <c r="E50" s="255">
        <f t="shared" ref="E50:N50" si="16">$C$50</f>
        <v>0.10929999999999999</v>
      </c>
      <c r="F50" s="255">
        <f t="shared" si="16"/>
        <v>0.10929999999999999</v>
      </c>
      <c r="G50" s="255">
        <f t="shared" si="16"/>
        <v>0.10929999999999999</v>
      </c>
      <c r="H50" s="255">
        <f t="shared" si="16"/>
        <v>0.10929999999999999</v>
      </c>
      <c r="I50" s="255">
        <f t="shared" si="16"/>
        <v>0.10929999999999999</v>
      </c>
      <c r="J50" s="255">
        <f t="shared" si="16"/>
        <v>0.10929999999999999</v>
      </c>
      <c r="K50" s="255">
        <f t="shared" si="16"/>
        <v>0.10929999999999999</v>
      </c>
      <c r="L50" s="255">
        <f t="shared" si="16"/>
        <v>0.10929999999999999</v>
      </c>
      <c r="M50" s="255">
        <f t="shared" si="16"/>
        <v>0.10929999999999999</v>
      </c>
      <c r="N50" s="255">
        <f t="shared" si="16"/>
        <v>0.10929999999999999</v>
      </c>
    </row>
    <row r="51" spans="1:18">
      <c r="A51" s="8">
        <f t="shared" si="1"/>
        <v>39</v>
      </c>
      <c r="B51" s="5" t="s">
        <v>375</v>
      </c>
      <c r="C51" s="255">
        <v>0.51883860656465508</v>
      </c>
      <c r="D51" s="255">
        <f>$C$51</f>
        <v>0.51883860656465508</v>
      </c>
      <c r="E51" s="255">
        <f t="shared" ref="E51:N51" si="17">$C$51</f>
        <v>0.51883860656465508</v>
      </c>
      <c r="F51" s="255">
        <f t="shared" si="17"/>
        <v>0.51883860656465508</v>
      </c>
      <c r="G51" s="255">
        <f t="shared" si="17"/>
        <v>0.51883860656465508</v>
      </c>
      <c r="H51" s="255">
        <f t="shared" si="17"/>
        <v>0.51883860656465508</v>
      </c>
      <c r="I51" s="255">
        <f t="shared" si="17"/>
        <v>0.51883860656465508</v>
      </c>
      <c r="J51" s="255">
        <f t="shared" si="17"/>
        <v>0.51883860656465508</v>
      </c>
      <c r="K51" s="255">
        <f t="shared" si="17"/>
        <v>0.51883860656465508</v>
      </c>
      <c r="L51" s="255">
        <f t="shared" si="17"/>
        <v>0.51883860656465508</v>
      </c>
      <c r="M51" s="255">
        <f t="shared" si="17"/>
        <v>0.51883860656465508</v>
      </c>
      <c r="N51" s="255">
        <f t="shared" si="17"/>
        <v>0.51883860656465508</v>
      </c>
    </row>
    <row r="52" spans="1:18">
      <c r="A52" s="8">
        <f t="shared" si="1"/>
        <v>40</v>
      </c>
    </row>
    <row r="53" spans="1:18">
      <c r="A53" s="8">
        <f t="shared" si="1"/>
        <v>41</v>
      </c>
      <c r="B53" s="5" t="s">
        <v>381</v>
      </c>
      <c r="C53" s="299">
        <f t="shared" ref="C53:N53" si="18">C48*C50*C51</f>
        <v>11736.866354638472</v>
      </c>
      <c r="D53" s="299">
        <f t="shared" si="18"/>
        <v>15879.964904618653</v>
      </c>
      <c r="E53" s="299">
        <f t="shared" si="18"/>
        <v>11626.521061010399</v>
      </c>
      <c r="F53" s="299">
        <f t="shared" si="18"/>
        <v>9731.053361637707</v>
      </c>
      <c r="G53" s="299">
        <f t="shared" si="18"/>
        <v>9731.053361637707</v>
      </c>
      <c r="H53" s="299">
        <f t="shared" si="18"/>
        <v>9731.053361637707</v>
      </c>
      <c r="I53" s="299">
        <f t="shared" si="18"/>
        <v>10274.837593185417</v>
      </c>
      <c r="J53" s="299">
        <f t="shared" si="18"/>
        <v>10274.837593185417</v>
      </c>
      <c r="K53" s="299">
        <f t="shared" si="18"/>
        <v>10274.837593185417</v>
      </c>
      <c r="L53" s="299">
        <f t="shared" si="18"/>
        <v>17946.769514222971</v>
      </c>
      <c r="M53" s="299">
        <f t="shared" si="18"/>
        <v>16443.790015699869</v>
      </c>
      <c r="N53" s="299">
        <f t="shared" si="18"/>
        <v>13562.352044133386</v>
      </c>
      <c r="O53" s="291">
        <f>SUM(C53:N53)</f>
        <v>147213.93675879313</v>
      </c>
    </row>
    <row r="54" spans="1:18">
      <c r="A54" s="8">
        <f t="shared" si="1"/>
        <v>42</v>
      </c>
    </row>
    <row r="55" spans="1:18" ht="15.75">
      <c r="A55" s="8">
        <f t="shared" si="1"/>
        <v>43</v>
      </c>
      <c r="B55" s="288" t="s">
        <v>377</v>
      </c>
    </row>
    <row r="56" spans="1:18">
      <c r="A56" s="8">
        <f t="shared" si="1"/>
        <v>44</v>
      </c>
      <c r="B56" s="5" t="s">
        <v>358</v>
      </c>
      <c r="C56" s="289">
        <f>'C.2.3 B'!F55*1.03</f>
        <v>21288.328399999999</v>
      </c>
      <c r="D56" s="289">
        <f>'C.2.3 B'!G55*1.03</f>
        <v>33880.356500000002</v>
      </c>
      <c r="E56" s="289">
        <f>'C.2.3 B'!H55*1.03</f>
        <v>30581.390100000004</v>
      </c>
      <c r="F56" s="289">
        <f>'C.2.3 B'!I55*1.03</f>
        <v>22871.31185982289</v>
      </c>
      <c r="G56" s="289">
        <f>'C.2.3 B'!J55*1.03</f>
        <v>22871.31185982289</v>
      </c>
      <c r="H56" s="289">
        <f>'C.2.3 B'!K55*1.03</f>
        <v>22871.31185982289</v>
      </c>
      <c r="I56" s="289">
        <f>'C.2.3 B'!L55*1.03</f>
        <v>24502.909486021843</v>
      </c>
      <c r="J56" s="289">
        <f>'C.2.3 B'!M55*1.03</f>
        <v>24502.909486021843</v>
      </c>
      <c r="K56" s="289">
        <f>'C.2.3 B'!N55*1.03</f>
        <v>24502.909486021843</v>
      </c>
      <c r="L56" s="289">
        <f>'C.2.3 B'!C55*1.03*1.03</f>
        <v>108977.75919099998</v>
      </c>
      <c r="M56" s="289">
        <f>'C.2.3 B'!D55*1.03*1.03</f>
        <v>19200.274290000001</v>
      </c>
      <c r="N56" s="289">
        <f>'C.2.3 B'!E55*1.03*1.03</f>
        <v>9960.6946190000053</v>
      </c>
      <c r="O56" s="289">
        <f t="shared" ref="O56:O63" si="19">SUM(C56:N56)</f>
        <v>366011.46713753423</v>
      </c>
    </row>
    <row r="57" spans="1:18">
      <c r="A57" s="8">
        <f t="shared" si="1"/>
        <v>45</v>
      </c>
      <c r="B57" s="5" t="s">
        <v>359</v>
      </c>
      <c r="C57" s="289">
        <f>'C.2.3 B'!F56*1.03</f>
        <v>-2.1424000000000003</v>
      </c>
      <c r="D57" s="289">
        <f>'C.2.3 B'!G56*1.03</f>
        <v>15.419100000000002</v>
      </c>
      <c r="E57" s="289">
        <f>'C.2.3 B'!H56*1.03</f>
        <v>2.6471</v>
      </c>
      <c r="F57" s="289">
        <f>'C.2.3 B'!I56*1.03</f>
        <v>163.05097154307114</v>
      </c>
      <c r="G57" s="289">
        <f>'C.2.3 B'!J56*1.03</f>
        <v>163.05097154307114</v>
      </c>
      <c r="H57" s="289">
        <f>'C.2.3 B'!K56*1.03</f>
        <v>163.05097154307114</v>
      </c>
      <c r="I57" s="289">
        <f>'C.2.3 B'!L56*1.03</f>
        <v>174.68273012996875</v>
      </c>
      <c r="J57" s="289">
        <f>'C.2.3 B'!M56*1.03</f>
        <v>174.68273012996875</v>
      </c>
      <c r="K57" s="289">
        <f>'C.2.3 B'!N56*1.03</f>
        <v>174.68273012996875</v>
      </c>
      <c r="L57" s="289">
        <f>'C.2.3 B'!C56*1.03*1.03</f>
        <v>1739.8759999999997</v>
      </c>
      <c r="M57" s="289">
        <f>'C.2.3 B'!D56*1.03*1.03</f>
        <v>46.297676000000052</v>
      </c>
      <c r="N57" s="289">
        <f>'C.2.3 B'!E56*1.03*1.03</f>
        <v>-188.118788</v>
      </c>
      <c r="O57" s="39">
        <f t="shared" si="19"/>
        <v>2627.1797930191196</v>
      </c>
    </row>
    <row r="58" spans="1:18">
      <c r="A58" s="8">
        <f t="shared" si="1"/>
        <v>46</v>
      </c>
      <c r="B58" s="5" t="s">
        <v>360</v>
      </c>
      <c r="C58" s="289">
        <f>'C.2.3 B'!F57*1.03</f>
        <v>134.34290000000001</v>
      </c>
      <c r="D58" s="289">
        <f>'C.2.3 B'!G57*1.03</f>
        <v>9.0124999999999993</v>
      </c>
      <c r="E58" s="289">
        <f>'C.2.3 B'!H57*1.03</f>
        <v>2.3277999999999999</v>
      </c>
      <c r="F58" s="289">
        <f>'C.2.3 B'!I57*1.03</f>
        <v>117.83475073527271</v>
      </c>
      <c r="G58" s="289">
        <f>'C.2.3 B'!J57*1.03</f>
        <v>117.83475073527271</v>
      </c>
      <c r="H58" s="289">
        <f>'C.2.3 B'!K57*1.03</f>
        <v>117.83475073527271</v>
      </c>
      <c r="I58" s="289">
        <f>'C.2.3 B'!L57*1.03</f>
        <v>126.24086669231798</v>
      </c>
      <c r="J58" s="289">
        <f>'C.2.3 B'!M57*1.03</f>
        <v>126.24086669231798</v>
      </c>
      <c r="K58" s="289">
        <f>'C.2.3 B'!N57*1.03</f>
        <v>126.24086669231798</v>
      </c>
      <c r="L58" s="289">
        <f>'C.2.3 B'!C57*1.03*1.03</f>
        <v>1776.890801</v>
      </c>
      <c r="M58" s="289">
        <f>'C.2.3 B'!D57*1.03*1.03</f>
        <v>574.68952999999988</v>
      </c>
      <c r="N58" s="289">
        <f>'C.2.3 B'!E57*1.03*1.03</f>
        <v>-1334.8880340000003</v>
      </c>
      <c r="O58" s="39">
        <f t="shared" si="19"/>
        <v>1894.602349282771</v>
      </c>
    </row>
    <row r="59" spans="1:18">
      <c r="A59" s="8">
        <f t="shared" si="1"/>
        <v>47</v>
      </c>
      <c r="B59" s="9" t="s">
        <v>361</v>
      </c>
      <c r="C59" s="289">
        <f>'C.2.3 B'!F58*1.03</f>
        <v>13.1325</v>
      </c>
      <c r="D59" s="289">
        <f>'C.2.3 B'!G58*1.03</f>
        <v>13.1325</v>
      </c>
      <c r="E59" s="289">
        <f>'C.2.3 B'!H58*1.03</f>
        <v>0</v>
      </c>
      <c r="F59" s="289">
        <f>'C.2.3 B'!I58*1.03</f>
        <v>0</v>
      </c>
      <c r="G59" s="289">
        <f>'C.2.3 B'!J58*1.03</f>
        <v>0</v>
      </c>
      <c r="H59" s="289">
        <f>'C.2.3 B'!K58*1.03</f>
        <v>0</v>
      </c>
      <c r="I59" s="289">
        <f>'C.2.3 B'!L58*1.03</f>
        <v>0</v>
      </c>
      <c r="J59" s="289">
        <f>'C.2.3 B'!M58*1.03</f>
        <v>0</v>
      </c>
      <c r="K59" s="289">
        <f>'C.2.3 B'!N58*1.03</f>
        <v>0</v>
      </c>
      <c r="L59" s="289">
        <f>'C.2.3 B'!C58*1.03*1.03</f>
        <v>157.79826600000001</v>
      </c>
      <c r="M59" s="289">
        <f>'C.2.3 B'!D58*1.03*1.03</f>
        <v>103.69236600000001</v>
      </c>
      <c r="N59" s="289">
        <f>'C.2.3 B'!E58*1.03*1.03</f>
        <v>112.710016</v>
      </c>
      <c r="O59" s="39">
        <f t="shared" si="19"/>
        <v>400.46564799999999</v>
      </c>
    </row>
    <row r="60" spans="1:18">
      <c r="A60" s="8">
        <f t="shared" si="1"/>
        <v>48</v>
      </c>
      <c r="B60" s="5" t="s">
        <v>370</v>
      </c>
      <c r="C60" s="39">
        <v>300</v>
      </c>
      <c r="D60" s="39">
        <f>C60</f>
        <v>300</v>
      </c>
      <c r="E60" s="39">
        <f t="shared" ref="E60:N61" si="20">D60</f>
        <v>300</v>
      </c>
      <c r="F60" s="39">
        <f t="shared" si="20"/>
        <v>300</v>
      </c>
      <c r="G60" s="39">
        <f t="shared" si="20"/>
        <v>300</v>
      </c>
      <c r="H60" s="39">
        <f t="shared" si="20"/>
        <v>300</v>
      </c>
      <c r="I60" s="39">
        <f t="shared" si="20"/>
        <v>300</v>
      </c>
      <c r="J60" s="39">
        <f t="shared" si="20"/>
        <v>300</v>
      </c>
      <c r="K60" s="39">
        <f t="shared" si="20"/>
        <v>300</v>
      </c>
      <c r="L60" s="39">
        <f t="shared" si="20"/>
        <v>300</v>
      </c>
      <c r="M60" s="39">
        <f t="shared" si="20"/>
        <v>300</v>
      </c>
      <c r="N60" s="39">
        <f t="shared" si="20"/>
        <v>300</v>
      </c>
      <c r="O60" s="39">
        <f>SUM(C60:N60)</f>
        <v>3600</v>
      </c>
      <c r="P60" s="296"/>
      <c r="Q60" s="296"/>
      <c r="R60" s="196"/>
    </row>
    <row r="61" spans="1:18">
      <c r="A61" s="8">
        <f t="shared" si="1"/>
        <v>49</v>
      </c>
      <c r="B61" s="213" t="s">
        <v>378</v>
      </c>
      <c r="C61" s="39">
        <f>'C.2.3 B'!N60</f>
        <v>0</v>
      </c>
      <c r="D61" s="39">
        <f>C61</f>
        <v>0</v>
      </c>
      <c r="E61" s="39">
        <f t="shared" si="20"/>
        <v>0</v>
      </c>
      <c r="F61" s="39">
        <f t="shared" si="20"/>
        <v>0</v>
      </c>
      <c r="G61" s="39">
        <f t="shared" si="20"/>
        <v>0</v>
      </c>
      <c r="H61" s="39">
        <f t="shared" si="20"/>
        <v>0</v>
      </c>
      <c r="I61" s="39">
        <f t="shared" si="20"/>
        <v>0</v>
      </c>
      <c r="J61" s="39">
        <f t="shared" si="20"/>
        <v>0</v>
      </c>
      <c r="K61" s="39">
        <f t="shared" si="20"/>
        <v>0</v>
      </c>
      <c r="L61" s="39">
        <f t="shared" si="20"/>
        <v>0</v>
      </c>
      <c r="M61" s="39">
        <f t="shared" si="20"/>
        <v>0</v>
      </c>
      <c r="N61" s="39">
        <f t="shared" si="20"/>
        <v>0</v>
      </c>
      <c r="O61" s="39">
        <f t="shared" si="19"/>
        <v>0</v>
      </c>
      <c r="P61" s="297"/>
    </row>
    <row r="62" spans="1:18">
      <c r="A62" s="8">
        <f t="shared" si="1"/>
        <v>50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8">
      <c r="A63" s="8">
        <f t="shared" si="1"/>
        <v>51</v>
      </c>
      <c r="B63" s="5" t="s">
        <v>373</v>
      </c>
      <c r="C63" s="291">
        <f t="shared" ref="C63:N63" si="21">SUM(C56:C62)</f>
        <v>21733.661399999997</v>
      </c>
      <c r="D63" s="291">
        <f t="shared" si="21"/>
        <v>34217.920599999998</v>
      </c>
      <c r="E63" s="291">
        <f t="shared" si="21"/>
        <v>30886.365000000002</v>
      </c>
      <c r="F63" s="291">
        <f t="shared" si="21"/>
        <v>23452.197582101235</v>
      </c>
      <c r="G63" s="291">
        <f t="shared" si="21"/>
        <v>23452.197582101235</v>
      </c>
      <c r="H63" s="291">
        <f t="shared" si="21"/>
        <v>23452.197582101235</v>
      </c>
      <c r="I63" s="291">
        <f t="shared" si="21"/>
        <v>25103.833082844129</v>
      </c>
      <c r="J63" s="291">
        <f t="shared" si="21"/>
        <v>25103.833082844129</v>
      </c>
      <c r="K63" s="291">
        <f t="shared" si="21"/>
        <v>25103.833082844129</v>
      </c>
      <c r="L63" s="291">
        <f t="shared" si="21"/>
        <v>112952.32425799998</v>
      </c>
      <c r="M63" s="291">
        <f t="shared" si="21"/>
        <v>20224.953861999998</v>
      </c>
      <c r="N63" s="291">
        <f t="shared" si="21"/>
        <v>8850.3978130000069</v>
      </c>
      <c r="O63" s="291">
        <f t="shared" si="19"/>
        <v>374533.71492783609</v>
      </c>
    </row>
    <row r="64" spans="1:18">
      <c r="A64" s="8">
        <f t="shared" si="1"/>
        <v>52</v>
      </c>
      <c r="G64" s="290"/>
    </row>
    <row r="65" spans="1:15">
      <c r="A65" s="8">
        <f t="shared" si="1"/>
        <v>53</v>
      </c>
      <c r="B65" s="5" t="s">
        <v>374</v>
      </c>
      <c r="C65" s="255">
        <v>1</v>
      </c>
      <c r="D65" s="255">
        <f>$C$65</f>
        <v>1</v>
      </c>
      <c r="E65" s="255">
        <f t="shared" ref="E65:N65" si="22">$C$65</f>
        <v>1</v>
      </c>
      <c r="F65" s="255">
        <f t="shared" si="22"/>
        <v>1</v>
      </c>
      <c r="G65" s="255">
        <f t="shared" si="22"/>
        <v>1</v>
      </c>
      <c r="H65" s="255">
        <f t="shared" si="22"/>
        <v>1</v>
      </c>
      <c r="I65" s="255">
        <f t="shared" si="22"/>
        <v>1</v>
      </c>
      <c r="J65" s="255">
        <f t="shared" si="22"/>
        <v>1</v>
      </c>
      <c r="K65" s="255">
        <f t="shared" si="22"/>
        <v>1</v>
      </c>
      <c r="L65" s="255">
        <f t="shared" si="22"/>
        <v>1</v>
      </c>
      <c r="M65" s="255">
        <f t="shared" si="22"/>
        <v>1</v>
      </c>
      <c r="N65" s="255">
        <f t="shared" si="22"/>
        <v>1</v>
      </c>
    </row>
    <row r="66" spans="1:15">
      <c r="A66" s="8">
        <f t="shared" si="1"/>
        <v>54</v>
      </c>
      <c r="B66" s="5" t="s">
        <v>375</v>
      </c>
      <c r="C66" s="255">
        <v>0.5025136071712456</v>
      </c>
      <c r="D66" s="255">
        <f>$C$66</f>
        <v>0.5025136071712456</v>
      </c>
      <c r="E66" s="255">
        <f t="shared" ref="E66:N66" si="23">$C$66</f>
        <v>0.5025136071712456</v>
      </c>
      <c r="F66" s="255">
        <f t="shared" si="23"/>
        <v>0.5025136071712456</v>
      </c>
      <c r="G66" s="255">
        <f t="shared" si="23"/>
        <v>0.5025136071712456</v>
      </c>
      <c r="H66" s="255">
        <f t="shared" si="23"/>
        <v>0.5025136071712456</v>
      </c>
      <c r="I66" s="255">
        <f t="shared" si="23"/>
        <v>0.5025136071712456</v>
      </c>
      <c r="J66" s="255">
        <f t="shared" si="23"/>
        <v>0.5025136071712456</v>
      </c>
      <c r="K66" s="255">
        <f t="shared" si="23"/>
        <v>0.5025136071712456</v>
      </c>
      <c r="L66" s="255">
        <f t="shared" si="23"/>
        <v>0.5025136071712456</v>
      </c>
      <c r="M66" s="255">
        <f t="shared" si="23"/>
        <v>0.5025136071712456</v>
      </c>
      <c r="N66" s="255">
        <f t="shared" si="23"/>
        <v>0.5025136071712456</v>
      </c>
    </row>
    <row r="67" spans="1:15">
      <c r="A67" s="8">
        <f t="shared" si="1"/>
        <v>55</v>
      </c>
    </row>
    <row r="68" spans="1:15">
      <c r="A68" s="8">
        <f t="shared" si="1"/>
        <v>56</v>
      </c>
      <c r="B68" s="5" t="s">
        <v>382</v>
      </c>
      <c r="C68" s="299">
        <f>C63*C65*C66</f>
        <v>10921.460587152462</v>
      </c>
      <c r="D68" s="299">
        <f t="shared" ref="D68:N68" si="24">D63*D65*D66</f>
        <v>17194.97071060527</v>
      </c>
      <c r="E68" s="299">
        <f t="shared" si="24"/>
        <v>15520.818688557711</v>
      </c>
      <c r="F68" s="299">
        <f t="shared" si="24"/>
        <v>11785.048403074456</v>
      </c>
      <c r="G68" s="299">
        <f t="shared" si="24"/>
        <v>11785.048403074456</v>
      </c>
      <c r="H68" s="299">
        <f t="shared" si="24"/>
        <v>11785.048403074456</v>
      </c>
      <c r="I68" s="299">
        <f t="shared" si="24"/>
        <v>12615.017716284854</v>
      </c>
      <c r="J68" s="299">
        <f t="shared" si="24"/>
        <v>12615.017716284854</v>
      </c>
      <c r="K68" s="299">
        <f t="shared" si="24"/>
        <v>12615.017716284854</v>
      </c>
      <c r="L68" s="299">
        <f t="shared" si="24"/>
        <v>56760.079901263758</v>
      </c>
      <c r="M68" s="299">
        <f t="shared" si="24"/>
        <v>10163.314520065634</v>
      </c>
      <c r="N68" s="299">
        <f t="shared" si="24"/>
        <v>4447.4453299111365</v>
      </c>
      <c r="O68" s="291">
        <f>SUM(C68:N68)</f>
        <v>188208.28809563391</v>
      </c>
    </row>
    <row r="69" spans="1:15">
      <c r="B69" s="300"/>
    </row>
  </sheetData>
  <mergeCells count="4">
    <mergeCell ref="A1:O1"/>
    <mergeCell ref="A2:O2"/>
    <mergeCell ref="A3:O3"/>
    <mergeCell ref="A4:O4"/>
  </mergeCells>
  <printOptions horizontalCentered="1"/>
  <pageMargins left="0.17" right="0.17" top="0.66" bottom="0.17" header="0.5" footer="0.44"/>
  <pageSetup scale="47" orientation="landscape" r:id="rId1"/>
  <headerFooter alignWithMargins="0">
    <oddHeader>&amp;RCASE NO. 2017-00349
FR 16(8)(c)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view="pageBreakPreview" zoomScale="80" zoomScaleNormal="90" zoomScaleSheetLayoutView="80" workbookViewId="0">
      <selection activeCell="O24" sqref="O24"/>
    </sheetView>
  </sheetViews>
  <sheetFormatPr defaultColWidth="10.109375" defaultRowHeight="15"/>
  <cols>
    <col min="1" max="1" width="5.21875" style="6" customWidth="1"/>
    <col min="2" max="2" width="2.21875" style="6" customWidth="1"/>
    <col min="3" max="3" width="26.109375" style="6" customWidth="1"/>
    <col min="4" max="4" width="13.21875" style="6" customWidth="1"/>
    <col min="5" max="5" width="2.33203125" style="6" customWidth="1"/>
    <col min="6" max="6" width="13.21875" style="6" customWidth="1"/>
    <col min="7" max="7" width="2.109375" style="6" customWidth="1"/>
    <col min="8" max="8" width="12.88671875" style="6" customWidth="1"/>
    <col min="9" max="9" width="2.109375" style="6" customWidth="1"/>
    <col min="10" max="10" width="13.88671875" style="6" customWidth="1"/>
    <col min="11" max="11" width="4.88671875" style="6" customWidth="1"/>
    <col min="12" max="12" width="6.5546875" style="6" bestFit="1" customWidth="1"/>
    <col min="13" max="13" width="11.109375" style="6" customWidth="1"/>
    <col min="14" max="14" width="8" style="6" bestFit="1" customWidth="1"/>
    <col min="15" max="15" width="12" style="6" customWidth="1"/>
    <col min="16" max="16" width="10.109375" style="6" customWidth="1"/>
    <col min="17" max="17" width="3.21875" style="6" customWidth="1"/>
    <col min="18" max="18" width="11.88671875" style="6" customWidth="1"/>
    <col min="19" max="19" width="1.33203125" style="6" customWidth="1"/>
    <col min="20" max="20" width="12.33203125" style="6" customWidth="1"/>
    <col min="21" max="21" width="1.6640625" style="6" customWidth="1"/>
    <col min="22" max="22" width="10.5546875" style="6" bestFit="1" customWidth="1"/>
    <col min="23" max="23" width="0.88671875" style="6" customWidth="1"/>
    <col min="24" max="24" width="10.44140625" style="6" bestFit="1" customWidth="1"/>
    <col min="25" max="16384" width="10.109375" style="6"/>
  </cols>
  <sheetData>
    <row r="1" spans="1:24">
      <c r="A1" s="304" t="s">
        <v>384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24">
      <c r="A2" s="304" t="s">
        <v>385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24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24">
      <c r="A4" s="304" t="s">
        <v>387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24">
      <c r="A5" s="10"/>
      <c r="B5" s="10"/>
      <c r="C5" s="10"/>
      <c r="D5" s="10"/>
      <c r="E5" s="10"/>
      <c r="F5" s="10"/>
      <c r="G5" s="10"/>
      <c r="H5" s="10"/>
      <c r="I5" s="10"/>
      <c r="J5" s="10"/>
    </row>
    <row r="7" spans="1:24">
      <c r="A7" s="11" t="s">
        <v>14</v>
      </c>
      <c r="I7" s="11"/>
      <c r="J7" s="12" t="s">
        <v>15</v>
      </c>
    </row>
    <row r="8" spans="1:24">
      <c r="A8" s="11" t="s">
        <v>16</v>
      </c>
      <c r="H8" s="11"/>
      <c r="I8" s="11"/>
      <c r="J8" s="13" t="s">
        <v>17</v>
      </c>
    </row>
    <row r="9" spans="1:24">
      <c r="A9" s="14" t="s">
        <v>18</v>
      </c>
      <c r="B9" s="15"/>
      <c r="C9" s="15"/>
      <c r="D9" s="15"/>
      <c r="E9" s="15"/>
      <c r="F9" s="15"/>
      <c r="G9" s="15"/>
      <c r="H9" s="14"/>
      <c r="I9" s="14"/>
      <c r="J9" s="16" t="s">
        <v>383</v>
      </c>
    </row>
    <row r="10" spans="1:24">
      <c r="D10" s="4" t="s">
        <v>19</v>
      </c>
      <c r="F10" s="17" t="s">
        <v>20</v>
      </c>
      <c r="J10" s="17" t="s">
        <v>20</v>
      </c>
      <c r="R10" s="18"/>
      <c r="S10" s="18"/>
      <c r="T10" s="18"/>
      <c r="U10" s="18"/>
      <c r="V10" s="18"/>
      <c r="W10" s="18"/>
      <c r="X10" s="18"/>
    </row>
    <row r="11" spans="1:24">
      <c r="A11" s="17" t="s">
        <v>21</v>
      </c>
      <c r="D11" s="17" t="s">
        <v>22</v>
      </c>
      <c r="F11" s="17" t="s">
        <v>22</v>
      </c>
      <c r="H11" s="17" t="s">
        <v>23</v>
      </c>
      <c r="J11" s="17" t="s">
        <v>22</v>
      </c>
      <c r="R11" s="18"/>
      <c r="S11" s="18"/>
      <c r="T11" s="18"/>
      <c r="U11" s="18"/>
      <c r="V11" s="18"/>
      <c r="W11" s="18"/>
      <c r="X11" s="18"/>
    </row>
    <row r="12" spans="1:24">
      <c r="A12" s="19" t="s">
        <v>24</v>
      </c>
      <c r="B12" s="15"/>
      <c r="C12" s="14" t="s">
        <v>4</v>
      </c>
      <c r="D12" s="19" t="s">
        <v>25</v>
      </c>
      <c r="E12" s="15"/>
      <c r="F12" s="19" t="s">
        <v>25</v>
      </c>
      <c r="G12" s="15"/>
      <c r="H12" s="19" t="s">
        <v>26</v>
      </c>
      <c r="I12" s="15"/>
      <c r="J12" s="19" t="s">
        <v>27</v>
      </c>
      <c r="L12" s="18"/>
      <c r="O12" s="20"/>
      <c r="P12" s="21"/>
      <c r="R12" s="18"/>
      <c r="S12" s="18"/>
      <c r="T12" s="18"/>
      <c r="U12" s="18"/>
      <c r="V12" s="22"/>
      <c r="W12" s="22"/>
      <c r="X12" s="18"/>
    </row>
    <row r="13" spans="1:24">
      <c r="D13" s="17"/>
      <c r="F13" s="17"/>
      <c r="H13" s="17"/>
      <c r="J13" s="17"/>
      <c r="L13" s="18"/>
      <c r="O13" s="21"/>
      <c r="P13" s="21"/>
      <c r="R13" s="23"/>
      <c r="S13" s="18"/>
      <c r="T13" s="18"/>
      <c r="U13" s="18"/>
      <c r="V13" s="23"/>
      <c r="W13" s="23"/>
      <c r="X13" s="18"/>
    </row>
    <row r="14" spans="1:24">
      <c r="F14" s="5"/>
      <c r="L14" s="18"/>
      <c r="O14" s="24"/>
      <c r="P14" s="24"/>
      <c r="R14" s="18"/>
      <c r="S14" s="18"/>
      <c r="T14" s="18"/>
      <c r="U14" s="18"/>
      <c r="V14" s="18"/>
      <c r="W14" s="18"/>
      <c r="X14" s="18"/>
    </row>
    <row r="15" spans="1:24">
      <c r="A15" s="17">
        <v>1</v>
      </c>
      <c r="C15" s="11" t="s">
        <v>28</v>
      </c>
      <c r="D15" s="25">
        <f>+C.2!D14</f>
        <v>156713246.88095582</v>
      </c>
      <c r="E15" s="5"/>
      <c r="F15" s="25">
        <f>C.2!O14</f>
        <v>170729275.9114207</v>
      </c>
      <c r="G15" s="26"/>
      <c r="H15" s="27">
        <v>10416375</v>
      </c>
      <c r="I15" s="26"/>
      <c r="J15" s="27">
        <f>+F15+H15</f>
        <v>181145650.9114207</v>
      </c>
      <c r="K15" s="26"/>
      <c r="L15" s="28"/>
      <c r="M15" s="27"/>
      <c r="N15" s="26"/>
      <c r="O15" s="29"/>
      <c r="P15" s="30"/>
      <c r="Q15" s="26"/>
      <c r="R15" s="31"/>
      <c r="S15" s="31"/>
      <c r="T15" s="31"/>
      <c r="U15" s="18"/>
      <c r="V15" s="18"/>
      <c r="W15" s="18"/>
      <c r="X15" s="18"/>
    </row>
    <row r="16" spans="1:24">
      <c r="D16" s="5"/>
      <c r="E16" s="5"/>
      <c r="F16" s="32"/>
      <c r="G16" s="26"/>
      <c r="H16" s="26"/>
      <c r="I16" s="26"/>
      <c r="J16" s="26"/>
      <c r="K16" s="26"/>
      <c r="L16" s="33"/>
      <c r="M16" s="26"/>
      <c r="N16" s="26"/>
      <c r="O16" s="34"/>
      <c r="P16" s="30"/>
      <c r="Q16" s="26"/>
      <c r="R16" s="35"/>
      <c r="S16" s="35"/>
      <c r="T16" s="36"/>
      <c r="U16" s="18"/>
      <c r="V16" s="18"/>
      <c r="W16" s="18"/>
      <c r="X16" s="18"/>
    </row>
    <row r="17" spans="1:24">
      <c r="A17" s="17">
        <v>2</v>
      </c>
      <c r="C17" s="11" t="s">
        <v>29</v>
      </c>
      <c r="D17" s="5"/>
      <c r="E17" s="5"/>
      <c r="F17" s="32"/>
      <c r="G17" s="26"/>
      <c r="H17" s="26"/>
      <c r="I17" s="26"/>
      <c r="J17" s="26"/>
      <c r="K17" s="26"/>
      <c r="L17" s="33"/>
      <c r="M17" s="26"/>
      <c r="N17" s="26"/>
      <c r="O17" s="34"/>
      <c r="P17" s="30"/>
      <c r="Q17" s="26"/>
      <c r="R17" s="35"/>
      <c r="S17" s="35"/>
      <c r="T17" s="36"/>
      <c r="U17" s="18"/>
      <c r="V17" s="18"/>
      <c r="W17" s="18"/>
      <c r="X17" s="18"/>
    </row>
    <row r="18" spans="1:24">
      <c r="A18" s="17">
        <v>3</v>
      </c>
      <c r="C18" s="37" t="s">
        <v>30</v>
      </c>
      <c r="D18" s="38">
        <f>+C.2!D17</f>
        <v>65546014.381216273</v>
      </c>
      <c r="E18" s="39"/>
      <c r="F18" s="38">
        <f>C.2!O17</f>
        <v>78709117.242809042</v>
      </c>
      <c r="G18" s="38"/>
      <c r="H18" s="38"/>
      <c r="I18" s="38"/>
      <c r="J18" s="38">
        <f>+F18+H18</f>
        <v>78709117.242809042</v>
      </c>
      <c r="K18" s="26"/>
      <c r="L18" s="28"/>
      <c r="M18" s="26"/>
      <c r="O18" s="29"/>
      <c r="P18" s="30"/>
      <c r="Q18" s="26"/>
      <c r="R18" s="31"/>
      <c r="S18" s="40"/>
      <c r="T18" s="31"/>
      <c r="U18" s="18"/>
      <c r="V18" s="18"/>
      <c r="W18" s="18"/>
      <c r="X18" s="18"/>
    </row>
    <row r="19" spans="1:24">
      <c r="A19" s="17">
        <v>4</v>
      </c>
      <c r="C19" s="37" t="s">
        <v>31</v>
      </c>
      <c r="D19" s="38">
        <f>SUM(C.2!D18:D25)</f>
        <v>26961891.384395156</v>
      </c>
      <c r="E19" s="39"/>
      <c r="F19" s="38">
        <f>SUM(C.2!O18:O25)</f>
        <v>26164029.229292534</v>
      </c>
      <c r="G19" s="38"/>
      <c r="H19" s="38">
        <v>52081.875</v>
      </c>
      <c r="I19" s="38"/>
      <c r="J19" s="38">
        <f>+F19+H19</f>
        <v>26216111.104292534</v>
      </c>
      <c r="K19" s="26"/>
      <c r="L19" s="28"/>
      <c r="M19" s="30"/>
      <c r="N19" s="41"/>
      <c r="O19" s="29"/>
      <c r="P19" s="30"/>
      <c r="Q19" s="26"/>
      <c r="R19" s="31"/>
      <c r="S19" s="40"/>
      <c r="T19" s="31"/>
      <c r="U19" s="18"/>
      <c r="V19" s="18"/>
      <c r="W19" s="18"/>
      <c r="X19" s="18"/>
    </row>
    <row r="20" spans="1:24">
      <c r="A20" s="17">
        <v>5</v>
      </c>
      <c r="C20" s="11" t="s">
        <v>32</v>
      </c>
      <c r="D20" s="38">
        <f>+C.2!D26</f>
        <v>18899315.652483873</v>
      </c>
      <c r="E20" s="39"/>
      <c r="F20" s="38">
        <f>+C.2!O26</f>
        <v>21561512.250947833</v>
      </c>
      <c r="G20" s="42"/>
      <c r="H20" s="38"/>
      <c r="I20" s="42"/>
      <c r="J20" s="42">
        <f>+F20+H20</f>
        <v>21561512.250947833</v>
      </c>
      <c r="K20" s="26"/>
      <c r="L20" s="28"/>
      <c r="M20" s="26"/>
      <c r="N20" s="43"/>
      <c r="O20" s="29"/>
      <c r="P20" s="30"/>
      <c r="Q20" s="26"/>
      <c r="R20" s="31"/>
      <c r="S20" s="40"/>
      <c r="T20" s="31"/>
      <c r="U20" s="18"/>
      <c r="V20" s="18"/>
      <c r="W20" s="18"/>
      <c r="X20" s="18"/>
    </row>
    <row r="21" spans="1:24">
      <c r="A21" s="17">
        <v>6</v>
      </c>
      <c r="C21" s="11" t="s">
        <v>33</v>
      </c>
      <c r="D21" s="38">
        <f>+C.2!D27</f>
        <v>4830375.4565365165</v>
      </c>
      <c r="E21" s="39"/>
      <c r="F21" s="38">
        <f>+C.2!O27</f>
        <v>6566445.2651408128</v>
      </c>
      <c r="G21" s="42"/>
      <c r="H21" s="38">
        <v>20791.084500000001</v>
      </c>
      <c r="I21" s="42"/>
      <c r="J21" s="42">
        <f>+F21+H21</f>
        <v>6587236.3496408127</v>
      </c>
      <c r="K21" s="26"/>
      <c r="L21" s="28"/>
      <c r="M21" s="30"/>
      <c r="N21" s="41"/>
      <c r="O21" s="29"/>
      <c r="P21" s="30"/>
      <c r="Q21" s="26"/>
      <c r="R21" s="31"/>
      <c r="S21" s="40"/>
      <c r="T21" s="31"/>
      <c r="U21" s="18"/>
      <c r="V21" s="18"/>
      <c r="W21" s="18"/>
      <c r="X21" s="18"/>
    </row>
    <row r="22" spans="1:24">
      <c r="A22" s="17">
        <v>7</v>
      </c>
      <c r="C22" s="11"/>
      <c r="D22" s="44"/>
      <c r="E22" s="44"/>
      <c r="F22" s="42"/>
      <c r="G22" s="42"/>
      <c r="H22" s="38"/>
      <c r="I22" s="42"/>
      <c r="J22" s="42"/>
      <c r="K22" s="26"/>
      <c r="L22" s="33"/>
      <c r="M22" s="26"/>
      <c r="O22" s="29"/>
      <c r="P22" s="30"/>
      <c r="Q22" s="26"/>
      <c r="R22" s="45"/>
      <c r="S22" s="45"/>
      <c r="T22" s="46"/>
      <c r="U22" s="18"/>
      <c r="V22" s="18"/>
      <c r="W22" s="18"/>
      <c r="X22" s="18"/>
    </row>
    <row r="23" spans="1:24">
      <c r="A23" s="17">
        <v>8</v>
      </c>
      <c r="C23" s="11" t="s">
        <v>34</v>
      </c>
      <c r="D23" s="47">
        <v>12513986.649966933</v>
      </c>
      <c r="E23" s="44"/>
      <c r="F23" s="47">
        <v>10801686.154425904</v>
      </c>
      <c r="G23" s="42"/>
      <c r="H23" s="47">
        <f>((+H15-H19-H21)*0.06)+((+H15-H19-H21-((+H15-H19-H21)*0.06))*0.35)</f>
        <v>4023622.2937544999</v>
      </c>
      <c r="I23" s="42"/>
      <c r="J23" s="48">
        <f>+F23+H23</f>
        <v>14825308.448180404</v>
      </c>
      <c r="K23" s="26"/>
      <c r="L23" s="28"/>
      <c r="M23" s="26"/>
      <c r="N23" s="26"/>
      <c r="O23" s="29"/>
      <c r="P23" s="30"/>
      <c r="Q23" s="26"/>
      <c r="R23" s="31"/>
      <c r="S23" s="40"/>
      <c r="T23" s="31"/>
      <c r="U23" s="18"/>
      <c r="V23" s="18"/>
      <c r="W23" s="18"/>
      <c r="X23" s="18"/>
    </row>
    <row r="24" spans="1:24">
      <c r="A24" s="17">
        <v>9</v>
      </c>
      <c r="C24" s="11" t="s">
        <v>35</v>
      </c>
      <c r="D24" s="27">
        <f>SUM(D18:D23)</f>
        <v>128751583.52459875</v>
      </c>
      <c r="F24" s="25">
        <f>SUM(F18:F23)</f>
        <v>143802790.14261612</v>
      </c>
      <c r="G24" s="26"/>
      <c r="H24" s="27">
        <f>SUM(H18:H23)</f>
        <v>4096495.2532544998</v>
      </c>
      <c r="I24" s="26"/>
      <c r="J24" s="27">
        <f>SUM(J18:J23)</f>
        <v>147899285.39587063</v>
      </c>
      <c r="K24" s="26"/>
      <c r="L24" s="28"/>
      <c r="M24" s="26"/>
      <c r="N24" s="26"/>
      <c r="O24" s="29"/>
      <c r="P24" s="30"/>
      <c r="Q24" s="26"/>
      <c r="R24" s="31"/>
      <c r="S24" s="40"/>
      <c r="T24" s="31"/>
      <c r="U24" s="18"/>
      <c r="V24" s="18"/>
      <c r="W24" s="18"/>
      <c r="X24" s="18"/>
    </row>
    <row r="25" spans="1:24">
      <c r="D25" s="26"/>
      <c r="F25" s="32"/>
      <c r="G25" s="26"/>
      <c r="H25" s="26"/>
      <c r="I25" s="26"/>
      <c r="J25" s="26"/>
      <c r="K25" s="26"/>
      <c r="L25" s="33"/>
      <c r="M25" s="26"/>
      <c r="N25" s="26"/>
      <c r="O25" s="34"/>
      <c r="P25" s="30"/>
      <c r="Q25" s="26"/>
      <c r="R25" s="31"/>
      <c r="S25" s="40"/>
      <c r="T25" s="31"/>
      <c r="U25" s="18"/>
      <c r="V25" s="18"/>
      <c r="W25" s="18"/>
      <c r="X25" s="18"/>
    </row>
    <row r="26" spans="1:24" ht="15.75" thickBot="1">
      <c r="A26" s="17">
        <v>10</v>
      </c>
      <c r="C26" s="11" t="s">
        <v>36</v>
      </c>
      <c r="D26" s="49">
        <f>D15-D24</f>
        <v>27961663.356357068</v>
      </c>
      <c r="F26" s="50">
        <f>F15-F24</f>
        <v>26926485.76880458</v>
      </c>
      <c r="G26" s="26"/>
      <c r="H26" s="50">
        <f>H15-H24</f>
        <v>6319879.7467455007</v>
      </c>
      <c r="I26" s="26"/>
      <c r="J26" s="49">
        <f>J15-J24</f>
        <v>33246365.515550077</v>
      </c>
      <c r="K26" s="26"/>
      <c r="L26" s="28"/>
      <c r="M26" s="26"/>
      <c r="N26" s="26"/>
      <c r="O26" s="29"/>
      <c r="P26" s="30"/>
      <c r="Q26" s="26"/>
      <c r="R26" s="31"/>
      <c r="S26" s="40"/>
      <c r="T26" s="31"/>
      <c r="U26" s="18"/>
      <c r="V26" s="18"/>
      <c r="W26" s="18"/>
      <c r="X26" s="18"/>
    </row>
    <row r="27" spans="1:24" ht="15.75" thickTop="1">
      <c r="F27" s="32"/>
      <c r="G27" s="26"/>
      <c r="H27" s="26"/>
      <c r="I27" s="26"/>
      <c r="J27" s="26"/>
      <c r="K27" s="26"/>
      <c r="L27" s="33"/>
      <c r="M27" s="26"/>
      <c r="N27" s="26"/>
      <c r="O27" s="26"/>
      <c r="P27" s="26"/>
      <c r="Q27" s="26"/>
      <c r="R27" s="18"/>
      <c r="S27" s="45"/>
      <c r="T27" s="36"/>
      <c r="U27" s="18"/>
      <c r="V27" s="18"/>
      <c r="W27" s="18"/>
      <c r="X27" s="18"/>
    </row>
    <row r="28" spans="1:24">
      <c r="A28" s="17">
        <v>11</v>
      </c>
      <c r="C28" s="11" t="s">
        <v>37</v>
      </c>
      <c r="D28" s="38">
        <v>369386897.00335014</v>
      </c>
      <c r="E28" s="44"/>
      <c r="F28" s="38">
        <v>430095329.87132108</v>
      </c>
      <c r="G28" s="42"/>
      <c r="H28" s="42"/>
      <c r="I28" s="42"/>
      <c r="J28" s="42">
        <v>430095329.87132108</v>
      </c>
      <c r="K28" s="26"/>
      <c r="L28" s="33"/>
      <c r="M28" s="26"/>
      <c r="N28" s="26"/>
      <c r="O28" s="26"/>
      <c r="P28" s="26"/>
      <c r="Q28" s="26"/>
      <c r="R28" s="31"/>
      <c r="S28" s="45"/>
      <c r="T28" s="31"/>
      <c r="U28" s="18"/>
      <c r="V28" s="18"/>
      <c r="W28" s="18"/>
      <c r="X28" s="18"/>
    </row>
    <row r="29" spans="1:24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8"/>
      <c r="S29" s="18"/>
      <c r="T29" s="33"/>
      <c r="U29" s="18"/>
      <c r="V29" s="18"/>
      <c r="W29" s="18"/>
      <c r="X29" s="18"/>
    </row>
    <row r="30" spans="1:24">
      <c r="A30" s="17">
        <v>12</v>
      </c>
      <c r="C30" s="11" t="s">
        <v>38</v>
      </c>
      <c r="D30" s="51">
        <f>(D26/D28)</f>
        <v>7.5697496536005909E-2</v>
      </c>
      <c r="F30" s="51">
        <f>(F26/F28)</f>
        <v>6.2605854792379706E-2</v>
      </c>
      <c r="H30" s="52"/>
      <c r="J30" s="51">
        <f>(J26/J28)</f>
        <v>7.7299991900625739E-2</v>
      </c>
      <c r="K30" s="26"/>
      <c r="L30" s="26"/>
      <c r="M30" s="26"/>
      <c r="R30" s="53"/>
      <c r="S30" s="18"/>
      <c r="T30" s="53"/>
      <c r="U30" s="18"/>
      <c r="V30" s="53"/>
      <c r="W30" s="53"/>
      <c r="X30" s="53"/>
    </row>
    <row r="31" spans="1:24">
      <c r="F31" s="26"/>
      <c r="H31" s="52"/>
      <c r="J31" s="26"/>
      <c r="K31" s="26"/>
      <c r="L31" s="26"/>
      <c r="M31" s="26"/>
      <c r="R31" s="18"/>
      <c r="S31" s="18"/>
      <c r="T31" s="18"/>
      <c r="U31" s="18"/>
      <c r="V31" s="18"/>
      <c r="W31" s="18"/>
      <c r="X31" s="18"/>
    </row>
    <row r="32" spans="1:24">
      <c r="F32" s="26"/>
      <c r="H32" s="26"/>
      <c r="J32" s="26"/>
      <c r="K32" s="26"/>
      <c r="L32" s="26"/>
      <c r="M32" s="26"/>
      <c r="R32" s="18"/>
      <c r="S32" s="18"/>
      <c r="T32" s="18"/>
      <c r="U32" s="18"/>
      <c r="V32" s="18"/>
      <c r="W32" s="18"/>
      <c r="X32" s="18"/>
    </row>
    <row r="33" spans="3:24">
      <c r="C33" s="54"/>
      <c r="D33" s="55"/>
      <c r="E33" s="55"/>
      <c r="F33" s="55"/>
      <c r="G33" s="55"/>
      <c r="H33" s="55"/>
      <c r="I33" s="55"/>
      <c r="J33" s="55"/>
      <c r="K33" s="26"/>
      <c r="L33" s="26"/>
      <c r="M33" s="26"/>
      <c r="R33" s="18"/>
      <c r="S33" s="18"/>
      <c r="T33" s="18"/>
      <c r="U33" s="18"/>
      <c r="V33" s="18"/>
      <c r="W33" s="18"/>
      <c r="X33" s="18"/>
    </row>
    <row r="34" spans="3:24">
      <c r="F34" s="26"/>
      <c r="K34" s="26"/>
      <c r="L34" s="26"/>
      <c r="M34" s="26"/>
    </row>
    <row r="35" spans="3:24">
      <c r="F35" s="26"/>
      <c r="K35" s="26"/>
      <c r="L35" s="26"/>
      <c r="M35" s="26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5" footer="0.5"/>
  <pageSetup orientation="landscape" verticalDpi="300" r:id="rId1"/>
  <headerFooter alignWithMargins="0">
    <oddHeader>&amp;R&amp;9CASE NO. 2017-00349
FR 16(8)(c)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70" zoomScaleNormal="90" zoomScaleSheetLayoutView="70" workbookViewId="0">
      <selection activeCell="E14" sqref="E14"/>
    </sheetView>
  </sheetViews>
  <sheetFormatPr defaultColWidth="7.109375" defaultRowHeight="15"/>
  <cols>
    <col min="1" max="1" width="3.5546875" style="6" customWidth="1"/>
    <col min="2" max="2" width="2.21875" style="6" customWidth="1"/>
    <col min="3" max="3" width="27.5546875" style="6" customWidth="1"/>
    <col min="4" max="4" width="13.109375" style="6" bestFit="1" customWidth="1"/>
    <col min="5" max="5" width="1.33203125" style="6" customWidth="1"/>
    <col min="6" max="6" width="12.6640625" style="6" customWidth="1"/>
    <col min="7" max="7" width="6.21875" style="6" bestFit="1" customWidth="1"/>
    <col min="8" max="8" width="7.33203125" style="6" customWidth="1"/>
    <col min="9" max="9" width="6" style="6" customWidth="1"/>
    <col min="10" max="10" width="1.44140625" style="6" customWidth="1"/>
    <col min="11" max="11" width="12.88671875" style="6" customWidth="1"/>
    <col min="12" max="12" width="1.44140625" style="6" customWidth="1"/>
    <col min="13" max="13" width="11.5546875" style="6" customWidth="1"/>
    <col min="14" max="14" width="14.5546875" style="6" customWidth="1"/>
    <col min="15" max="15" width="13.44140625" style="6" customWidth="1"/>
    <col min="16" max="16" width="11.77734375" style="6" bestFit="1" customWidth="1"/>
    <col min="17" max="17" width="2.109375" style="6" customWidth="1"/>
    <col min="18" max="18" width="8.5546875" style="6" customWidth="1"/>
    <col min="19" max="21" width="7.109375" style="6"/>
    <col min="22" max="22" width="8" style="6" bestFit="1" customWidth="1"/>
    <col min="23" max="23" width="9.21875" style="6" customWidth="1"/>
    <col min="24" max="16384" width="7.109375" style="6"/>
  </cols>
  <sheetData>
    <row r="1" spans="1:20">
      <c r="A1" s="305" t="s">
        <v>384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20">
      <c r="A2" s="305" t="s">
        <v>385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20">
      <c r="A3" s="305" t="s">
        <v>39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20">
      <c r="A4" s="305" t="s">
        <v>386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20">
      <c r="A5" s="305" t="s">
        <v>387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20">
      <c r="C6" s="56"/>
    </row>
    <row r="7" spans="1:20">
      <c r="A7" s="11" t="str">
        <f>C.1!A7</f>
        <v>Data:__X____Base Period___X___Forecasted Period</v>
      </c>
      <c r="K7" s="57"/>
      <c r="O7" s="12" t="s">
        <v>40</v>
      </c>
    </row>
    <row r="8" spans="1:20">
      <c r="A8" s="11" t="str">
        <f>C.1!A8</f>
        <v>Type of Filing:___X____Original________Updated ________Revised</v>
      </c>
      <c r="K8" s="57"/>
      <c r="O8" s="58" t="s">
        <v>41</v>
      </c>
    </row>
    <row r="9" spans="1:20">
      <c r="A9" s="59" t="str">
        <f>C.1!A9</f>
        <v>Workpaper Reference No(s).____________________</v>
      </c>
      <c r="B9" s="15"/>
      <c r="C9" s="15"/>
      <c r="D9" s="15"/>
      <c r="E9" s="15"/>
      <c r="F9" s="15"/>
      <c r="G9" s="15"/>
      <c r="H9" s="15"/>
      <c r="I9" s="15"/>
      <c r="J9" s="15"/>
      <c r="K9" s="60"/>
      <c r="L9" s="15"/>
      <c r="M9" s="3"/>
      <c r="N9" s="3"/>
      <c r="O9" s="61" t="str">
        <f>C.1!J9</f>
        <v>Witness: Waller, Martin</v>
      </c>
    </row>
    <row r="10" spans="1:20">
      <c r="D10" s="17" t="s">
        <v>42</v>
      </c>
      <c r="G10" s="62"/>
      <c r="H10" s="4" t="s">
        <v>43</v>
      </c>
      <c r="K10" s="17" t="s">
        <v>20</v>
      </c>
      <c r="O10" s="4" t="s">
        <v>44</v>
      </c>
    </row>
    <row r="11" spans="1:20">
      <c r="A11" s="63" t="s">
        <v>21</v>
      </c>
      <c r="C11" s="17" t="s">
        <v>45</v>
      </c>
      <c r="D11" s="63" t="s">
        <v>46</v>
      </c>
      <c r="F11" s="4" t="s">
        <v>47</v>
      </c>
      <c r="G11" s="4" t="s">
        <v>48</v>
      </c>
      <c r="H11" s="17" t="s">
        <v>49</v>
      </c>
      <c r="I11" s="4" t="s">
        <v>48</v>
      </c>
      <c r="K11" s="63" t="s">
        <v>46</v>
      </c>
      <c r="M11" s="4" t="s">
        <v>50</v>
      </c>
      <c r="N11" s="4" t="s">
        <v>48</v>
      </c>
      <c r="O11" s="4" t="s">
        <v>51</v>
      </c>
    </row>
    <row r="12" spans="1:20">
      <c r="A12" s="64" t="s">
        <v>24</v>
      </c>
      <c r="B12" s="15"/>
      <c r="C12" s="64" t="s">
        <v>52</v>
      </c>
      <c r="D12" s="19" t="s">
        <v>53</v>
      </c>
      <c r="E12" s="15"/>
      <c r="F12" s="19" t="s">
        <v>54</v>
      </c>
      <c r="G12" s="65" t="s">
        <v>55</v>
      </c>
      <c r="H12" s="19" t="s">
        <v>56</v>
      </c>
      <c r="I12" s="65" t="s">
        <v>55</v>
      </c>
      <c r="J12" s="15"/>
      <c r="K12" s="19" t="s">
        <v>53</v>
      </c>
      <c r="L12" s="15"/>
      <c r="M12" s="66" t="s">
        <v>54</v>
      </c>
      <c r="N12" s="65" t="s">
        <v>55</v>
      </c>
      <c r="O12" s="1" t="s">
        <v>57</v>
      </c>
    </row>
    <row r="13" spans="1:20">
      <c r="C13" s="67"/>
      <c r="D13" s="17"/>
      <c r="F13" s="17"/>
      <c r="H13" s="17"/>
      <c r="K13" s="68"/>
      <c r="M13" s="69"/>
      <c r="O13" s="17"/>
    </row>
    <row r="14" spans="1:20">
      <c r="A14" s="70">
        <v>1</v>
      </c>
      <c r="C14" s="11" t="s">
        <v>28</v>
      </c>
      <c r="D14" s="71">
        <f>+'C.2.1 B'!D32</f>
        <v>156713246.88095582</v>
      </c>
      <c r="E14" s="5"/>
      <c r="F14" s="25">
        <f>+K14-D14</f>
        <v>14016029.030464888</v>
      </c>
      <c r="G14" s="72" t="s">
        <v>58</v>
      </c>
      <c r="H14" s="32"/>
      <c r="I14" s="5"/>
      <c r="J14" s="5"/>
      <c r="K14" s="71">
        <f>'C.2.1 F'!D28</f>
        <v>170729275.9114207</v>
      </c>
      <c r="L14" s="73"/>
      <c r="M14" s="25">
        <v>0</v>
      </c>
      <c r="N14" s="73"/>
      <c r="O14" s="25">
        <f>+K14+M14</f>
        <v>170729275.9114207</v>
      </c>
      <c r="P14" s="74"/>
    </row>
    <row r="15" spans="1:20">
      <c r="A15" s="75">
        <v>2</v>
      </c>
      <c r="C15" s="62"/>
      <c r="D15" s="73"/>
      <c r="E15" s="5"/>
      <c r="F15" s="73"/>
      <c r="G15" s="73"/>
      <c r="H15" s="73"/>
      <c r="I15" s="5"/>
      <c r="J15" s="5"/>
      <c r="K15" s="73"/>
      <c r="L15" s="73"/>
      <c r="M15" s="76"/>
      <c r="N15" s="73"/>
      <c r="O15" s="76"/>
      <c r="P15" s="74"/>
    </row>
    <row r="16" spans="1:20">
      <c r="A16" s="70">
        <v>3</v>
      </c>
      <c r="C16" s="11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76"/>
      <c r="N16" s="5"/>
      <c r="O16" s="76"/>
      <c r="P16" s="74"/>
      <c r="Q16" s="52"/>
      <c r="S16" s="52"/>
      <c r="T16" s="74"/>
    </row>
    <row r="17" spans="1:23">
      <c r="A17" s="75">
        <v>4</v>
      </c>
      <c r="C17" s="37" t="s">
        <v>30</v>
      </c>
      <c r="D17" s="77">
        <f>+'C.2.1 B'!D104</f>
        <v>65546014.381216273</v>
      </c>
      <c r="E17" s="5"/>
      <c r="F17" s="38">
        <f t="shared" ref="F17:F28" si="0">+K17-D17-H17</f>
        <v>13163102.86159277</v>
      </c>
      <c r="G17" s="72" t="s">
        <v>58</v>
      </c>
      <c r="H17" s="32"/>
      <c r="I17" s="5"/>
      <c r="J17" s="5"/>
      <c r="K17" s="77">
        <f>'C.2.1 F'!D100</f>
        <v>78709117.242809042</v>
      </c>
      <c r="L17" s="73"/>
      <c r="M17" s="38">
        <v>0</v>
      </c>
      <c r="N17" s="73"/>
      <c r="O17" s="38">
        <f t="shared" ref="O17:O22" si="1">+K17+M17</f>
        <v>78709117.242809042</v>
      </c>
      <c r="P17" s="74"/>
      <c r="Q17" s="52"/>
      <c r="S17" s="52"/>
      <c r="T17" s="74"/>
    </row>
    <row r="18" spans="1:23">
      <c r="A18" s="70">
        <v>5</v>
      </c>
      <c r="C18" s="37" t="s">
        <v>59</v>
      </c>
      <c r="D18" s="78">
        <f>+'C.2.1 B'!D38+'C.2.1 B'!D42</f>
        <v>0</v>
      </c>
      <c r="E18" s="5"/>
      <c r="F18" s="38">
        <f t="shared" si="0"/>
        <v>0</v>
      </c>
      <c r="G18" s="72" t="s">
        <v>58</v>
      </c>
      <c r="H18" s="32"/>
      <c r="I18" s="5"/>
      <c r="J18" s="5"/>
      <c r="K18" s="77">
        <f>'C.2.1 F'!D34+'C.2.1 F'!D38</f>
        <v>0</v>
      </c>
      <c r="L18" s="32"/>
      <c r="M18" s="38">
        <v>0</v>
      </c>
      <c r="N18" s="32"/>
      <c r="O18" s="38">
        <f t="shared" si="1"/>
        <v>0</v>
      </c>
      <c r="P18" s="74"/>
    </row>
    <row r="19" spans="1:23">
      <c r="A19" s="75">
        <v>6</v>
      </c>
      <c r="C19" s="37" t="s">
        <v>60</v>
      </c>
      <c r="D19" s="78">
        <f>+'C.2.1 B'!D54+'C.2.1 B'!D64</f>
        <v>402608.75718359562</v>
      </c>
      <c r="E19" s="5"/>
      <c r="F19" s="38">
        <f t="shared" si="0"/>
        <v>2372.5684540501679</v>
      </c>
      <c r="G19" s="72" t="s">
        <v>58</v>
      </c>
      <c r="H19" s="32"/>
      <c r="I19" s="5"/>
      <c r="J19" s="5"/>
      <c r="K19" s="77">
        <f>'C.2.1 F'!D50+'C.2.1 F'!D60</f>
        <v>404981.32563764579</v>
      </c>
      <c r="L19" s="32"/>
      <c r="M19" s="38">
        <v>0</v>
      </c>
      <c r="N19" s="32"/>
      <c r="O19" s="38">
        <f t="shared" si="1"/>
        <v>404981.32563764579</v>
      </c>
      <c r="P19" s="74"/>
    </row>
    <row r="20" spans="1:23">
      <c r="A20" s="70">
        <v>7</v>
      </c>
      <c r="C20" s="37" t="s">
        <v>61</v>
      </c>
      <c r="D20" s="78">
        <f>+'C.2.1 B'!D74+'C.2.1 B'!D82</f>
        <v>267885.1416324373</v>
      </c>
      <c r="E20" s="5"/>
      <c r="F20" s="38">
        <f t="shared" si="0"/>
        <v>2787.7297778790817</v>
      </c>
      <c r="G20" s="72" t="s">
        <v>58</v>
      </c>
      <c r="H20" s="32"/>
      <c r="I20" s="5"/>
      <c r="J20" s="5"/>
      <c r="K20" s="77">
        <f>'C.2.1 F'!D70+'C.2.1 F'!D78</f>
        <v>270672.87141031638</v>
      </c>
      <c r="L20" s="32"/>
      <c r="M20" s="38">
        <v>0</v>
      </c>
      <c r="N20" s="32"/>
      <c r="O20" s="38">
        <f t="shared" si="1"/>
        <v>270672.87141031638</v>
      </c>
      <c r="P20" s="74"/>
      <c r="R20" s="79"/>
      <c r="S20" s="79"/>
      <c r="T20" s="79"/>
      <c r="U20" s="79"/>
      <c r="V20" s="79"/>
      <c r="W20" s="79"/>
    </row>
    <row r="21" spans="1:23">
      <c r="A21" s="75">
        <v>8</v>
      </c>
      <c r="C21" s="80" t="s">
        <v>62</v>
      </c>
      <c r="D21" s="78">
        <f>+'C.2.1 B'!D119+'C.2.1 B'!D132</f>
        <v>6643817.962154286</v>
      </c>
      <c r="E21" s="5"/>
      <c r="F21" s="38">
        <f t="shared" si="0"/>
        <v>131725.66012019105</v>
      </c>
      <c r="G21" s="72" t="s">
        <v>58</v>
      </c>
      <c r="H21" s="32"/>
      <c r="I21" s="8" t="s">
        <v>63</v>
      </c>
      <c r="J21" s="5"/>
      <c r="K21" s="81">
        <f>'C.2.1 F'!D115+'C.2.1 F'!D128</f>
        <v>6775543.622274477</v>
      </c>
      <c r="L21" s="32"/>
      <c r="M21" s="38">
        <v>0</v>
      </c>
      <c r="N21" s="82"/>
      <c r="O21" s="38">
        <f t="shared" si="1"/>
        <v>6775543.622274477</v>
      </c>
      <c r="P21" s="74"/>
      <c r="R21" s="79"/>
      <c r="S21" s="79"/>
      <c r="T21" s="79"/>
      <c r="U21" s="79"/>
      <c r="V21" s="79"/>
      <c r="W21" s="79"/>
    </row>
    <row r="22" spans="1:23">
      <c r="A22" s="70">
        <v>9</v>
      </c>
      <c r="C22" s="80" t="s">
        <v>64</v>
      </c>
      <c r="D22" s="78">
        <f>+'C.2.1 B'!D139</f>
        <v>3218090.9482542495</v>
      </c>
      <c r="E22" s="5"/>
      <c r="F22" s="38">
        <f t="shared" si="0"/>
        <v>158674.88617670769</v>
      </c>
      <c r="G22" s="72" t="s">
        <v>58</v>
      </c>
      <c r="H22" s="32"/>
      <c r="I22" s="8" t="s">
        <v>63</v>
      </c>
      <c r="J22" s="5"/>
      <c r="K22" s="77">
        <f>'C.2.1 F'!D135</f>
        <v>3376765.8344309572</v>
      </c>
      <c r="L22" s="32"/>
      <c r="M22" s="38">
        <v>0</v>
      </c>
      <c r="N22" s="32"/>
      <c r="O22" s="38">
        <f t="shared" si="1"/>
        <v>3376765.8344309572</v>
      </c>
      <c r="P22" s="74"/>
      <c r="R22" s="79"/>
      <c r="S22" s="79"/>
      <c r="T22" s="83"/>
      <c r="U22" s="79"/>
      <c r="V22" s="79"/>
      <c r="W22" s="79"/>
    </row>
    <row r="23" spans="1:23">
      <c r="A23" s="75">
        <v>10</v>
      </c>
      <c r="C23" s="37" t="s">
        <v>65</v>
      </c>
      <c r="D23" s="77">
        <f>+'C.2.1 B'!D146</f>
        <v>134412.29365729415</v>
      </c>
      <c r="E23" s="5"/>
      <c r="F23" s="38">
        <f t="shared" si="0"/>
        <v>-798.68748963411781</v>
      </c>
      <c r="G23" s="72" t="s">
        <v>58</v>
      </c>
      <c r="H23" s="32"/>
      <c r="I23" s="8" t="s">
        <v>63</v>
      </c>
      <c r="J23" s="5"/>
      <c r="K23" s="77">
        <f>'C.2.1 F'!D142</f>
        <v>133613.60616766004</v>
      </c>
      <c r="L23" s="73"/>
      <c r="M23" s="38">
        <v>0</v>
      </c>
      <c r="N23" s="82"/>
      <c r="O23" s="38">
        <f>+K23+M23</f>
        <v>133613.60616766004</v>
      </c>
      <c r="P23" s="74"/>
      <c r="R23" s="79"/>
      <c r="S23" s="79"/>
      <c r="T23" s="84"/>
      <c r="U23" s="79"/>
      <c r="V23" s="79"/>
      <c r="W23" s="79"/>
    </row>
    <row r="24" spans="1:23">
      <c r="A24" s="70">
        <v>11</v>
      </c>
      <c r="C24" s="80" t="s">
        <v>66</v>
      </c>
      <c r="D24" s="77">
        <f>+'C.2.1 B'!D153</f>
        <v>410952.66041130282</v>
      </c>
      <c r="E24" s="5"/>
      <c r="F24" s="38">
        <f t="shared" si="0"/>
        <v>32781.969086789526</v>
      </c>
      <c r="G24" s="72" t="s">
        <v>58</v>
      </c>
      <c r="H24" s="32"/>
      <c r="I24" s="8" t="s">
        <v>63</v>
      </c>
      <c r="J24" s="5"/>
      <c r="K24" s="77">
        <f>'C.2.1 F'!D149</f>
        <v>443734.62949809234</v>
      </c>
      <c r="L24" s="73"/>
      <c r="M24" s="38">
        <v>-86665.388132007472</v>
      </c>
      <c r="N24" s="82" t="s">
        <v>67</v>
      </c>
      <c r="O24" s="38">
        <f>+K24+M24</f>
        <v>357069.2413660849</v>
      </c>
      <c r="P24" s="74"/>
      <c r="R24" s="79"/>
      <c r="S24" s="79"/>
      <c r="T24" s="84"/>
      <c r="U24" s="79"/>
      <c r="V24" s="79"/>
      <c r="W24" s="79"/>
    </row>
    <row r="25" spans="1:23">
      <c r="A25" s="75">
        <v>12</v>
      </c>
      <c r="C25" s="80" t="s">
        <v>68</v>
      </c>
      <c r="D25" s="77">
        <f>+'C.2.1 B'!D167+'C.2.1 B'!D171</f>
        <v>15884123.621101992</v>
      </c>
      <c r="E25" s="5"/>
      <c r="F25" s="38">
        <f t="shared" si="0"/>
        <v>274798.11655801162</v>
      </c>
      <c r="G25" s="72" t="s">
        <v>58</v>
      </c>
      <c r="H25" s="32"/>
      <c r="I25" s="8" t="s">
        <v>63</v>
      </c>
      <c r="J25" s="5"/>
      <c r="K25" s="77">
        <f>'C.2.1 F'!D163+'C.2.1 F'!D167</f>
        <v>16158921.737660004</v>
      </c>
      <c r="L25" s="73"/>
      <c r="M25" s="38">
        <v>-1313539.0096546118</v>
      </c>
      <c r="N25" s="82" t="s">
        <v>69</v>
      </c>
      <c r="O25" s="38">
        <f>+K25+M25</f>
        <v>14845382.728005392</v>
      </c>
      <c r="P25" s="74"/>
      <c r="Q25" s="52"/>
      <c r="R25" s="79"/>
      <c r="S25" s="79"/>
      <c r="T25" s="84"/>
      <c r="U25" s="79"/>
      <c r="V25" s="79"/>
      <c r="W25" s="79"/>
    </row>
    <row r="26" spans="1:23">
      <c r="A26" s="70">
        <v>13</v>
      </c>
      <c r="C26" s="85" t="s">
        <v>70</v>
      </c>
      <c r="D26" s="77">
        <f>+'C.2.1 B'!D175</f>
        <v>18899315.652483873</v>
      </c>
      <c r="E26" s="5"/>
      <c r="F26" s="38">
        <f t="shared" si="0"/>
        <v>2662196.59846396</v>
      </c>
      <c r="G26" s="72" t="s">
        <v>58</v>
      </c>
      <c r="H26" s="32"/>
      <c r="I26" s="5"/>
      <c r="J26" s="5"/>
      <c r="K26" s="77">
        <f>'C.2.1 F'!D171</f>
        <v>21561512.250947833</v>
      </c>
      <c r="L26" s="73"/>
      <c r="M26" s="38">
        <f>O26-K26</f>
        <v>0</v>
      </c>
      <c r="N26" s="73"/>
      <c r="O26" s="77">
        <f>'C.2.1 F'!D171</f>
        <v>21561512.250947833</v>
      </c>
      <c r="P26" s="74"/>
      <c r="Q26" s="52"/>
      <c r="R26" s="79"/>
      <c r="S26" s="86"/>
      <c r="T26" s="84"/>
      <c r="U26" s="79"/>
      <c r="V26" s="79"/>
      <c r="W26" s="79"/>
    </row>
    <row r="27" spans="1:23">
      <c r="A27" s="75">
        <v>14</v>
      </c>
      <c r="C27" s="80" t="s">
        <v>71</v>
      </c>
      <c r="D27" s="77">
        <f>+'C.2.1 B'!D176</f>
        <v>4830375.4565365165</v>
      </c>
      <c r="F27" s="42">
        <f t="shared" si="0"/>
        <v>1736069.8086042963</v>
      </c>
      <c r="G27" s="10" t="s">
        <v>58</v>
      </c>
      <c r="H27" s="26"/>
      <c r="K27" s="77">
        <f>'C.2.1 F'!D172</f>
        <v>6566445.2651408128</v>
      </c>
      <c r="L27" s="32"/>
      <c r="M27" s="38">
        <v>0</v>
      </c>
      <c r="N27" s="82"/>
      <c r="O27" s="42">
        <f>+K27+M27</f>
        <v>6566445.2651408128</v>
      </c>
      <c r="P27" s="74"/>
      <c r="Q27" s="52"/>
      <c r="S27" s="52"/>
      <c r="T27" s="26"/>
    </row>
    <row r="28" spans="1:23">
      <c r="A28" s="70">
        <v>15</v>
      </c>
      <c r="C28" s="85" t="s">
        <v>72</v>
      </c>
      <c r="D28" s="77">
        <f>+'C.2.1 B'!D177</f>
        <v>12513986.649966933</v>
      </c>
      <c r="F28" s="42">
        <f t="shared" si="0"/>
        <v>-1712300.4955410287</v>
      </c>
      <c r="H28" s="26"/>
      <c r="K28" s="77">
        <f>'C.2.1 F'!D173</f>
        <v>10801686.154425904</v>
      </c>
      <c r="L28" s="73"/>
      <c r="M28" s="77">
        <f>+O28-K28</f>
        <v>0</v>
      </c>
      <c r="N28" s="72"/>
      <c r="O28" s="77">
        <v>10801686.154425904</v>
      </c>
      <c r="P28" s="74"/>
      <c r="Q28" s="52"/>
      <c r="S28" s="52"/>
      <c r="T28" s="74"/>
    </row>
    <row r="29" spans="1:23">
      <c r="A29" s="75">
        <v>16</v>
      </c>
      <c r="C29" s="57"/>
      <c r="D29" s="87"/>
      <c r="F29" s="88"/>
      <c r="H29" s="89"/>
      <c r="K29" s="87"/>
      <c r="L29" s="26"/>
      <c r="M29" s="90"/>
      <c r="N29" s="26"/>
      <c r="O29" s="90"/>
      <c r="P29" s="74"/>
    </row>
    <row r="30" spans="1:23">
      <c r="A30" s="70">
        <v>17</v>
      </c>
      <c r="C30" s="56"/>
      <c r="D30" s="26"/>
      <c r="F30" s="26"/>
      <c r="H30" s="26"/>
      <c r="K30" s="26"/>
      <c r="L30" s="26"/>
      <c r="M30" s="91"/>
      <c r="N30" s="26"/>
      <c r="O30" s="91"/>
      <c r="P30" s="74"/>
      <c r="T30" s="92"/>
    </row>
    <row r="31" spans="1:23">
      <c r="A31" s="75">
        <v>18</v>
      </c>
      <c r="C31" s="11" t="s">
        <v>35</v>
      </c>
      <c r="D31" s="27">
        <f>SUM(D17:D29)</f>
        <v>128751583.52459875</v>
      </c>
      <c r="F31" s="27">
        <f>SUM(F17:F29)</f>
        <v>16451411.015803993</v>
      </c>
      <c r="H31" s="27">
        <f>SUM(H21:H29)</f>
        <v>0</v>
      </c>
      <c r="K31" s="27">
        <f>SUM(K17:K29)</f>
        <v>145202994.54040271</v>
      </c>
      <c r="L31" s="26"/>
      <c r="M31" s="27">
        <f>SUM(M17:M29)</f>
        <v>-1400204.3977866194</v>
      </c>
      <c r="N31" s="26"/>
      <c r="O31" s="27">
        <f>SUM(O17:O29)</f>
        <v>143802790.14261612</v>
      </c>
      <c r="P31" s="74"/>
    </row>
    <row r="32" spans="1:23">
      <c r="A32" s="70">
        <v>19</v>
      </c>
      <c r="D32" s="74"/>
      <c r="F32" s="74"/>
      <c r="H32" s="74"/>
      <c r="K32" s="74"/>
      <c r="L32" s="74"/>
      <c r="M32" s="74"/>
      <c r="N32" s="74"/>
      <c r="O32" s="74"/>
      <c r="P32" s="74"/>
    </row>
    <row r="33" spans="1:21" ht="15.75" thickBot="1">
      <c r="A33" s="75">
        <v>20</v>
      </c>
      <c r="C33" s="11" t="s">
        <v>73</v>
      </c>
      <c r="D33" s="49">
        <f>D14-D31</f>
        <v>27961663.356357068</v>
      </c>
      <c r="F33" s="49">
        <f>F14-F31</f>
        <v>-2435381.9853391051</v>
      </c>
      <c r="H33" s="49">
        <f>H14-H31</f>
        <v>0</v>
      </c>
      <c r="K33" s="49">
        <f>K14-K31</f>
        <v>25526281.371017992</v>
      </c>
      <c r="L33" s="26"/>
      <c r="M33" s="49">
        <f>M14-M31</f>
        <v>1400204.3977866194</v>
      </c>
      <c r="N33" s="26"/>
      <c r="O33" s="49">
        <f>O14-O31</f>
        <v>26926485.76880458</v>
      </c>
      <c r="P33" s="74"/>
      <c r="Q33" s="52"/>
      <c r="S33" s="52"/>
      <c r="T33" s="26"/>
      <c r="U33" s="26"/>
    </row>
    <row r="34" spans="1:21" ht="15.75" thickTop="1">
      <c r="A34" s="75"/>
      <c r="D34" s="26"/>
      <c r="F34" s="26"/>
      <c r="G34" s="26"/>
      <c r="H34" s="26"/>
      <c r="K34" s="93"/>
      <c r="L34" s="26"/>
      <c r="M34" s="93"/>
      <c r="N34" s="26"/>
      <c r="O34" s="26"/>
      <c r="P34" s="26"/>
      <c r="Q34" s="52"/>
      <c r="S34" s="52"/>
      <c r="T34" s="26"/>
      <c r="U34" s="26"/>
    </row>
    <row r="35" spans="1:21">
      <c r="A35" s="70"/>
      <c r="D35" s="94"/>
      <c r="F35" s="26"/>
      <c r="G35" s="26"/>
      <c r="H35" s="26"/>
      <c r="K35" s="94"/>
      <c r="L35" s="26"/>
      <c r="M35" s="52"/>
      <c r="N35" s="26"/>
      <c r="O35" s="94"/>
      <c r="P35" s="26"/>
    </row>
    <row r="36" spans="1:21">
      <c r="A36" s="70"/>
      <c r="C36" s="95"/>
      <c r="D36" s="30"/>
      <c r="E36" s="24"/>
      <c r="F36" s="30"/>
      <c r="G36" s="30"/>
      <c r="H36" s="30"/>
      <c r="I36" s="24"/>
      <c r="J36" s="24"/>
      <c r="K36" s="30"/>
      <c r="L36" s="26"/>
      <c r="M36" s="38"/>
      <c r="N36" s="26"/>
      <c r="O36" s="94"/>
      <c r="P36" s="26"/>
    </row>
    <row r="37" spans="1:21">
      <c r="A37" s="70"/>
      <c r="C37" s="24"/>
      <c r="D37" s="96"/>
      <c r="E37" s="24"/>
      <c r="F37" s="30"/>
      <c r="G37" s="30"/>
      <c r="H37" s="30"/>
      <c r="I37" s="24"/>
      <c r="J37" s="24"/>
      <c r="K37" s="96"/>
      <c r="L37" s="26"/>
      <c r="M37" s="52"/>
      <c r="N37" s="26"/>
      <c r="O37" s="94"/>
      <c r="P37" s="26"/>
    </row>
    <row r="38" spans="1:21">
      <c r="A38" s="75"/>
      <c r="B38" s="97"/>
      <c r="C38" s="95"/>
      <c r="D38" s="30"/>
      <c r="E38" s="24"/>
      <c r="F38" s="30"/>
      <c r="G38" s="30"/>
      <c r="H38" s="30"/>
      <c r="I38" s="24"/>
      <c r="J38" s="24"/>
      <c r="K38" s="30"/>
      <c r="L38" s="26"/>
      <c r="N38" s="26"/>
      <c r="P38" s="26"/>
    </row>
    <row r="39" spans="1:21">
      <c r="A39" s="70"/>
      <c r="B39" s="98"/>
      <c r="C39" s="95"/>
      <c r="D39" s="30"/>
      <c r="E39" s="24"/>
      <c r="F39" s="30"/>
      <c r="G39" s="30"/>
      <c r="H39" s="30"/>
      <c r="I39" s="24"/>
      <c r="J39" s="24"/>
      <c r="K39" s="30"/>
      <c r="L39" s="26"/>
      <c r="M39" s="52"/>
      <c r="N39" s="26"/>
      <c r="O39" s="52"/>
      <c r="P39" s="26"/>
      <c r="T39" s="92"/>
    </row>
    <row r="40" spans="1:21">
      <c r="D40" s="26"/>
      <c r="F40" s="26"/>
      <c r="G40" s="26"/>
      <c r="K40" s="26"/>
      <c r="L40" s="26"/>
      <c r="M40" s="30"/>
      <c r="N40" s="24"/>
    </row>
    <row r="41" spans="1:21">
      <c r="D41" s="26"/>
      <c r="F41" s="26"/>
      <c r="G41" s="26"/>
      <c r="H41" s="52"/>
      <c r="K41" s="26"/>
      <c r="L41" s="26"/>
      <c r="M41" s="30"/>
      <c r="N41" s="30"/>
      <c r="O41" s="52"/>
      <c r="P41" s="26"/>
    </row>
    <row r="42" spans="1:21">
      <c r="A42" s="56"/>
      <c r="D42" s="26"/>
      <c r="F42" s="26"/>
      <c r="G42" s="26"/>
      <c r="K42" s="26"/>
      <c r="L42" s="26"/>
      <c r="M42" s="30"/>
      <c r="N42" s="30"/>
      <c r="P42" s="26"/>
      <c r="Q42" s="52"/>
      <c r="S42" s="52"/>
      <c r="T42" s="26"/>
      <c r="U42" s="26"/>
    </row>
    <row r="43" spans="1:21">
      <c r="A43" s="56"/>
      <c r="D43" s="26"/>
      <c r="F43" s="26"/>
      <c r="G43" s="26"/>
      <c r="H43" s="52"/>
      <c r="K43" s="26"/>
      <c r="L43" s="26"/>
      <c r="M43" s="99"/>
      <c r="N43" s="30"/>
      <c r="O43" s="52"/>
      <c r="P43" s="26"/>
      <c r="Q43" s="52"/>
      <c r="S43" s="52"/>
      <c r="T43" s="26"/>
      <c r="U43" s="26"/>
    </row>
    <row r="44" spans="1:21">
      <c r="A44" s="56"/>
      <c r="C44" s="56"/>
      <c r="D44" s="26"/>
      <c r="F44" s="26"/>
      <c r="G44" s="26"/>
      <c r="M44" s="100"/>
      <c r="N44" s="24"/>
    </row>
    <row r="45" spans="1:21">
      <c r="A45" s="56"/>
      <c r="C45" s="56"/>
      <c r="D45" s="26"/>
      <c r="F45" s="26"/>
      <c r="G45" s="26"/>
    </row>
    <row r="46" spans="1:21">
      <c r="D46" s="26"/>
      <c r="F46" s="26"/>
      <c r="G46" s="26"/>
      <c r="K46" s="92"/>
      <c r="L46" s="92"/>
      <c r="N46" s="92"/>
      <c r="P46" s="92"/>
      <c r="T46" s="92"/>
    </row>
    <row r="47" spans="1:21">
      <c r="A47" s="56"/>
      <c r="D47" s="26"/>
      <c r="F47" s="26"/>
      <c r="G47" s="26"/>
    </row>
    <row r="48" spans="1:21">
      <c r="C48" s="62"/>
      <c r="E48" s="26"/>
      <c r="G48" s="26"/>
    </row>
    <row r="49" spans="1:23">
      <c r="A49" s="56"/>
      <c r="C49" s="56"/>
      <c r="E49" s="26"/>
      <c r="F49" s="52"/>
      <c r="G49" s="26"/>
      <c r="H49" s="52"/>
      <c r="K49" s="52"/>
      <c r="L49" s="74"/>
      <c r="M49" s="52"/>
      <c r="N49" s="74"/>
      <c r="O49" s="52"/>
      <c r="P49" s="74"/>
      <c r="Q49" s="52"/>
      <c r="S49" s="52"/>
      <c r="T49" s="26"/>
      <c r="V49" s="56"/>
    </row>
    <row r="50" spans="1:23">
      <c r="C50" s="56"/>
      <c r="D50" s="52"/>
      <c r="E50" s="26"/>
      <c r="F50" s="52"/>
      <c r="G50" s="26"/>
      <c r="H50" s="52"/>
      <c r="K50" s="52"/>
      <c r="L50" s="74"/>
      <c r="M50" s="52"/>
      <c r="N50" s="74"/>
      <c r="O50" s="52"/>
      <c r="P50" s="74"/>
      <c r="Q50" s="52"/>
      <c r="S50" s="52"/>
      <c r="T50" s="26"/>
    </row>
    <row r="51" spans="1:23">
      <c r="D51" s="52"/>
      <c r="V51" s="56"/>
    </row>
    <row r="52" spans="1:23">
      <c r="V52" s="74"/>
      <c r="W52" s="26"/>
    </row>
    <row r="53" spans="1:23">
      <c r="V53" s="74"/>
      <c r="W53" s="26"/>
    </row>
    <row r="56" spans="1:23">
      <c r="V56" s="92"/>
    </row>
    <row r="58" spans="1:23">
      <c r="S58" s="26"/>
      <c r="T58" s="26"/>
    </row>
    <row r="59" spans="1:23">
      <c r="E59" s="74"/>
      <c r="R59" s="74"/>
      <c r="S59" s="26"/>
      <c r="T59" s="26"/>
    </row>
    <row r="62" spans="1:23">
      <c r="R62" s="92"/>
    </row>
    <row r="63" spans="1:23">
      <c r="R63" s="74"/>
    </row>
    <row r="64" spans="1:23">
      <c r="R64" s="74"/>
    </row>
    <row r="65" spans="1:18">
      <c r="R65" s="74"/>
    </row>
    <row r="67" spans="1:18">
      <c r="A67" s="56"/>
    </row>
    <row r="68" spans="1:18">
      <c r="A68" s="56"/>
      <c r="C68" s="56"/>
      <c r="G68" s="92"/>
      <c r="I68" s="92"/>
      <c r="J68" s="92"/>
      <c r="L68" s="92"/>
      <c r="N68" s="92"/>
      <c r="P68" s="92"/>
      <c r="R68" s="92"/>
    </row>
    <row r="69" spans="1:18">
      <c r="G69" s="74"/>
      <c r="R69" s="74"/>
    </row>
    <row r="70" spans="1:18">
      <c r="A70" s="56"/>
    </row>
    <row r="71" spans="1:18">
      <c r="A71" s="56"/>
    </row>
    <row r="72" spans="1:18">
      <c r="A72" s="56"/>
    </row>
    <row r="73" spans="1:18">
      <c r="A73" s="56"/>
    </row>
    <row r="75" spans="1:18">
      <c r="A75" s="56"/>
    </row>
    <row r="76" spans="1:18">
      <c r="A76" s="56"/>
    </row>
    <row r="79" spans="1:18">
      <c r="A79" s="56"/>
    </row>
    <row r="80" spans="1:18">
      <c r="C80" s="56"/>
    </row>
    <row r="86" spans="7:18">
      <c r="G86" s="74"/>
      <c r="I86" s="74"/>
      <c r="J86" s="74"/>
      <c r="L86" s="74"/>
      <c r="N86" s="74"/>
      <c r="P86" s="74"/>
      <c r="R86" s="74"/>
    </row>
    <row r="87" spans="7:18">
      <c r="G87" s="74"/>
      <c r="I87" s="74"/>
      <c r="J87" s="74"/>
      <c r="L87" s="74"/>
      <c r="N87" s="74"/>
      <c r="P87" s="74"/>
      <c r="R87" s="74"/>
    </row>
    <row r="88" spans="7:18">
      <c r="G88" s="74"/>
      <c r="I88" s="74"/>
      <c r="J88" s="74"/>
      <c r="L88" s="74"/>
      <c r="N88" s="74"/>
      <c r="P88" s="74"/>
      <c r="R88" s="74"/>
    </row>
    <row r="89" spans="7:18">
      <c r="G89" s="74"/>
      <c r="I89" s="74"/>
      <c r="J89" s="74"/>
      <c r="L89" s="74"/>
      <c r="N89" s="74"/>
      <c r="P89" s="74"/>
      <c r="R89" s="74"/>
    </row>
    <row r="90" spans="7:18">
      <c r="G90" s="74"/>
      <c r="I90" s="74"/>
      <c r="J90" s="74"/>
      <c r="L90" s="74"/>
      <c r="N90" s="74"/>
      <c r="P90" s="74"/>
      <c r="R90" s="74"/>
    </row>
    <row r="91" spans="7:18">
      <c r="G91" s="74"/>
      <c r="I91" s="74"/>
      <c r="J91" s="74"/>
      <c r="L91" s="74"/>
      <c r="N91" s="74"/>
      <c r="P91" s="74"/>
      <c r="R91" s="74"/>
    </row>
    <row r="92" spans="7:18">
      <c r="G92" s="74"/>
      <c r="I92" s="74"/>
      <c r="J92" s="74"/>
      <c r="L92" s="74"/>
      <c r="N92" s="74"/>
      <c r="P92" s="74"/>
      <c r="R92" s="74"/>
    </row>
    <row r="93" spans="7:18">
      <c r="G93" s="74"/>
      <c r="I93" s="74"/>
      <c r="J93" s="74"/>
      <c r="L93" s="74"/>
      <c r="N93" s="74"/>
      <c r="P93" s="74"/>
      <c r="R93" s="74"/>
    </row>
    <row r="94" spans="7:18">
      <c r="G94" s="74"/>
      <c r="I94" s="74"/>
      <c r="J94" s="74"/>
      <c r="L94" s="74"/>
      <c r="N94" s="74"/>
      <c r="P94" s="74"/>
      <c r="R94" s="74"/>
    </row>
    <row r="95" spans="7:18">
      <c r="G95" s="74"/>
      <c r="I95" s="74"/>
      <c r="J95" s="74"/>
      <c r="L95" s="74"/>
      <c r="N95" s="74"/>
      <c r="P95" s="74"/>
      <c r="R95" s="74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5" footer="0.5"/>
  <pageSetup scale="80" orientation="landscape" verticalDpi="300" r:id="rId1"/>
  <headerFooter alignWithMargins="0">
    <oddHeader>&amp;R&amp;9CASE NO. 2017-00349
FR 16(8)(c)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E14" sqref="E14"/>
      <selection pane="bottomLeft" activeCell="A12" sqref="A12"/>
    </sheetView>
  </sheetViews>
  <sheetFormatPr defaultColWidth="8.44140625" defaultRowHeight="15.75" customHeight="1"/>
  <cols>
    <col min="1" max="1" width="4.77734375" style="101" customWidth="1"/>
    <col min="2" max="2" width="11.88671875" style="101" customWidth="1"/>
    <col min="3" max="3" width="49.109375" style="101" customWidth="1"/>
    <col min="4" max="4" width="13.109375" style="101" customWidth="1"/>
    <col min="5" max="5" width="7.21875" style="101" customWidth="1"/>
    <col min="6" max="6" width="11.44140625" style="101" bestFit="1" customWidth="1"/>
    <col min="7" max="7" width="10" style="101" bestFit="1" customWidth="1"/>
    <col min="8" max="8" width="10.21875" style="101" customWidth="1"/>
    <col min="9" max="16384" width="8.44140625" style="101"/>
  </cols>
  <sheetData>
    <row r="1" spans="1:7" ht="15.75" customHeight="1">
      <c r="A1" s="306" t="s">
        <v>384</v>
      </c>
      <c r="B1" s="306"/>
      <c r="C1" s="306"/>
      <c r="D1" s="306"/>
    </row>
    <row r="2" spans="1:7" ht="15.75" customHeight="1">
      <c r="A2" s="306" t="s">
        <v>385</v>
      </c>
      <c r="B2" s="306"/>
      <c r="C2" s="306"/>
      <c r="D2" s="306"/>
    </row>
    <row r="3" spans="1:7" ht="15.75" customHeight="1">
      <c r="A3" s="306" t="s">
        <v>9</v>
      </c>
      <c r="B3" s="306"/>
      <c r="C3" s="306"/>
      <c r="D3" s="306"/>
    </row>
    <row r="4" spans="1:7" ht="15.75" customHeight="1">
      <c r="A4" s="306" t="s">
        <v>386</v>
      </c>
      <c r="B4" s="306"/>
      <c r="C4" s="306"/>
      <c r="D4" s="306"/>
    </row>
    <row r="5" spans="1:7" ht="15.75" customHeight="1">
      <c r="A5" s="102"/>
      <c r="B5" s="102"/>
      <c r="C5" s="103"/>
      <c r="D5" s="103"/>
    </row>
    <row r="6" spans="1:7" ht="15.75" customHeight="1">
      <c r="A6" s="104" t="s">
        <v>74</v>
      </c>
      <c r="D6" s="105" t="s">
        <v>75</v>
      </c>
    </row>
    <row r="7" spans="1:7" ht="15.75" customHeight="1">
      <c r="A7" s="11" t="s">
        <v>16</v>
      </c>
      <c r="D7" s="106" t="s">
        <v>76</v>
      </c>
    </row>
    <row r="8" spans="1:7" ht="15.75" customHeight="1">
      <c r="A8" s="107" t="s">
        <v>18</v>
      </c>
      <c r="B8" s="108"/>
      <c r="C8" s="108"/>
      <c r="D8" s="109" t="str">
        <f>C.1!J9</f>
        <v>Witness: Waller, Martin</v>
      </c>
    </row>
    <row r="9" spans="1:7" ht="15.75" customHeight="1">
      <c r="D9" s="110"/>
    </row>
    <row r="10" spans="1:7" ht="15.75" customHeight="1">
      <c r="A10" s="111" t="s">
        <v>21</v>
      </c>
      <c r="B10" s="110" t="s">
        <v>77</v>
      </c>
      <c r="C10" s="111" t="s">
        <v>77</v>
      </c>
      <c r="D10" s="110" t="s">
        <v>78</v>
      </c>
    </row>
    <row r="11" spans="1:7" ht="15.75" customHeight="1">
      <c r="A11" s="112" t="s">
        <v>24</v>
      </c>
      <c r="B11" s="113" t="s">
        <v>79</v>
      </c>
      <c r="C11" s="112" t="s">
        <v>80</v>
      </c>
      <c r="D11" s="113" t="s">
        <v>81</v>
      </c>
    </row>
    <row r="12" spans="1:7" ht="15.75" customHeight="1">
      <c r="D12" s="110" t="s">
        <v>82</v>
      </c>
    </row>
    <row r="13" spans="1:7" ht="15.75" customHeight="1">
      <c r="A13" s="110">
        <v>1</v>
      </c>
      <c r="B13" s="114"/>
      <c r="C13" s="115" t="s">
        <v>83</v>
      </c>
    </row>
    <row r="14" spans="1:7" ht="15.75" customHeight="1">
      <c r="A14" s="110">
        <f>A13+1</f>
        <v>2</v>
      </c>
      <c r="B14" s="114"/>
      <c r="C14" s="115" t="s">
        <v>84</v>
      </c>
      <c r="D14" s="116"/>
    </row>
    <row r="15" spans="1:7" ht="15.75" customHeight="1">
      <c r="A15" s="110">
        <f t="shared" ref="A15:A78" si="0">A14+1</f>
        <v>3</v>
      </c>
      <c r="B15" s="117">
        <v>4800</v>
      </c>
      <c r="C15" s="118" t="s">
        <v>85</v>
      </c>
      <c r="D15" s="119">
        <f>-'C.2.2 B 09'!P17</f>
        <v>92003987.593029201</v>
      </c>
      <c r="F15" s="120"/>
      <c r="G15" s="120"/>
    </row>
    <row r="16" spans="1:7" ht="15.75" customHeight="1">
      <c r="A16" s="110">
        <f t="shared" si="0"/>
        <v>4</v>
      </c>
      <c r="B16" s="121">
        <v>4805</v>
      </c>
      <c r="C16" s="122" t="s">
        <v>86</v>
      </c>
      <c r="D16" s="123">
        <f>-'C.2.2 B 09'!P18</f>
        <v>-4036098.25</v>
      </c>
      <c r="F16" s="120"/>
      <c r="G16" s="120"/>
    </row>
    <row r="17" spans="1:8" ht="15.75" customHeight="1">
      <c r="A17" s="110">
        <f t="shared" si="0"/>
        <v>5</v>
      </c>
      <c r="B17" s="121">
        <v>4811</v>
      </c>
      <c r="C17" s="122" t="s">
        <v>87</v>
      </c>
      <c r="D17" s="123">
        <f>-'C.2.2 B 09'!P19</f>
        <v>38443047.651499577</v>
      </c>
      <c r="F17" s="120"/>
      <c r="G17" s="120"/>
    </row>
    <row r="18" spans="1:8" ht="15.75" customHeight="1">
      <c r="A18" s="110">
        <f t="shared" si="0"/>
        <v>6</v>
      </c>
      <c r="B18" s="121">
        <v>4812</v>
      </c>
      <c r="C18" s="122" t="s">
        <v>88</v>
      </c>
      <c r="D18" s="123">
        <f>-'C.2.2 B 09'!P20</f>
        <v>6816385.5647433177</v>
      </c>
      <c r="F18" s="120"/>
      <c r="G18" s="120"/>
    </row>
    <row r="19" spans="1:8" ht="15.75" customHeight="1">
      <c r="A19" s="110">
        <f t="shared" si="0"/>
        <v>7</v>
      </c>
      <c r="B19" s="121">
        <v>4815</v>
      </c>
      <c r="C19" s="122" t="s">
        <v>89</v>
      </c>
      <c r="D19" s="123">
        <f>-'C.2.2 B 09'!P21</f>
        <v>-1524310.75</v>
      </c>
      <c r="F19" s="120"/>
      <c r="G19" s="120"/>
    </row>
    <row r="20" spans="1:8" ht="15.75" customHeight="1">
      <c r="A20" s="110">
        <f t="shared" si="0"/>
        <v>8</v>
      </c>
      <c r="B20" s="121">
        <v>4816</v>
      </c>
      <c r="C20" s="122" t="s">
        <v>90</v>
      </c>
      <c r="D20" s="123">
        <f>-'C.2.2 B 09'!P22</f>
        <v>-99394.930000000051</v>
      </c>
      <c r="F20" s="120"/>
      <c r="G20" s="120"/>
    </row>
    <row r="21" spans="1:8" ht="15.75" customHeight="1">
      <c r="A21" s="110">
        <f t="shared" si="0"/>
        <v>9</v>
      </c>
      <c r="B21" s="121">
        <v>4820</v>
      </c>
      <c r="C21" s="122" t="s">
        <v>91</v>
      </c>
      <c r="D21" s="123">
        <f>-'C.2.2 B 09'!P23</f>
        <v>6397243.3093471676</v>
      </c>
      <c r="F21" s="120"/>
      <c r="G21" s="120"/>
    </row>
    <row r="22" spans="1:8" ht="15.75" customHeight="1">
      <c r="A22" s="110">
        <f t="shared" si="0"/>
        <v>10</v>
      </c>
      <c r="B22" s="121">
        <v>4825</v>
      </c>
      <c r="C22" s="122" t="s">
        <v>92</v>
      </c>
      <c r="D22" s="124">
        <f>-'C.2.2 B 09'!P24</f>
        <v>-329425</v>
      </c>
      <c r="F22" s="120"/>
      <c r="G22" s="120"/>
    </row>
    <row r="23" spans="1:8" ht="15.75" customHeight="1">
      <c r="A23" s="110">
        <f t="shared" si="0"/>
        <v>11</v>
      </c>
      <c r="B23" s="110"/>
      <c r="C23" s="111" t="s">
        <v>93</v>
      </c>
      <c r="D23" s="119">
        <f>SUM(D15:D22)</f>
        <v>137671435.18861926</v>
      </c>
    </row>
    <row r="24" spans="1:8" ht="15.75" customHeight="1">
      <c r="A24" s="110">
        <f t="shared" si="0"/>
        <v>12</v>
      </c>
      <c r="B24" s="110"/>
      <c r="D24" s="116"/>
    </row>
    <row r="25" spans="1:8" ht="15.75" customHeight="1">
      <c r="A25" s="110">
        <f t="shared" si="0"/>
        <v>13</v>
      </c>
      <c r="B25" s="125"/>
      <c r="C25" s="115" t="s">
        <v>94</v>
      </c>
      <c r="D25" s="126"/>
    </row>
    <row r="26" spans="1:8" ht="15.75" customHeight="1">
      <c r="A26" s="110">
        <f t="shared" si="0"/>
        <v>14</v>
      </c>
      <c r="B26" s="117">
        <v>4870</v>
      </c>
      <c r="C26" s="118" t="s">
        <v>95</v>
      </c>
      <c r="D26" s="119">
        <f>-'C.2.2 B 09'!P25</f>
        <v>1231451.7485199214</v>
      </c>
    </row>
    <row r="27" spans="1:8" ht="15.75" customHeight="1">
      <c r="A27" s="110">
        <f t="shared" si="0"/>
        <v>15</v>
      </c>
      <c r="B27" s="117">
        <v>4880</v>
      </c>
      <c r="C27" s="118" t="s">
        <v>96</v>
      </c>
      <c r="D27" s="123">
        <f>-'C.2.2 B 09'!P26</f>
        <v>805992</v>
      </c>
    </row>
    <row r="28" spans="1:8" ht="15.75" customHeight="1">
      <c r="A28" s="110">
        <f t="shared" si="0"/>
        <v>16</v>
      </c>
      <c r="B28" s="127">
        <v>4893</v>
      </c>
      <c r="C28" s="128" t="s">
        <v>97</v>
      </c>
      <c r="D28" s="123">
        <f>-'C.2.2 B 09'!P27</f>
        <v>15830893.886251401</v>
      </c>
      <c r="F28" s="129"/>
    </row>
    <row r="29" spans="1:8" ht="15.75" customHeight="1">
      <c r="A29" s="110">
        <f t="shared" si="0"/>
        <v>17</v>
      </c>
      <c r="B29" s="117">
        <v>4950</v>
      </c>
      <c r="C29" s="118" t="s">
        <v>98</v>
      </c>
      <c r="D29" s="123">
        <f>-'C.2.2 B 09'!P28</f>
        <v>1173474.0575652353</v>
      </c>
      <c r="F29" s="116"/>
      <c r="G29" s="116"/>
      <c r="H29" s="129"/>
    </row>
    <row r="30" spans="1:8" ht="15.75" customHeight="1">
      <c r="A30" s="110">
        <f t="shared" si="0"/>
        <v>18</v>
      </c>
      <c r="B30" s="125"/>
      <c r="C30" s="111" t="s">
        <v>99</v>
      </c>
      <c r="D30" s="130">
        <f>SUM(D26:D29)</f>
        <v>19041811.692336556</v>
      </c>
    </row>
    <row r="31" spans="1:8" ht="15.75" customHeight="1">
      <c r="A31" s="110">
        <f t="shared" si="0"/>
        <v>19</v>
      </c>
      <c r="B31" s="125"/>
      <c r="D31" s="126"/>
      <c r="F31" s="131"/>
      <c r="G31" s="116"/>
    </row>
    <row r="32" spans="1:8" ht="15.75" customHeight="1">
      <c r="A32" s="110">
        <f t="shared" si="0"/>
        <v>20</v>
      </c>
      <c r="B32" s="110"/>
      <c r="C32" s="111" t="s">
        <v>100</v>
      </c>
      <c r="D32" s="119">
        <f>D23+D30</f>
        <v>156713246.88095582</v>
      </c>
      <c r="E32" s="132"/>
      <c r="F32" s="116"/>
      <c r="G32" s="116"/>
      <c r="H32" s="129"/>
    </row>
    <row r="33" spans="1:7" ht="15.75" customHeight="1">
      <c r="A33" s="110">
        <f t="shared" si="0"/>
        <v>21</v>
      </c>
      <c r="B33" s="125"/>
      <c r="D33" s="126"/>
      <c r="F33" s="116"/>
      <c r="G33" s="116"/>
    </row>
    <row r="34" spans="1:7" ht="15.75" customHeight="1">
      <c r="A34" s="110">
        <f t="shared" si="0"/>
        <v>22</v>
      </c>
      <c r="B34" s="125"/>
      <c r="C34" s="115" t="s">
        <v>101</v>
      </c>
      <c r="D34" s="126"/>
    </row>
    <row r="35" spans="1:7" ht="15.75" customHeight="1">
      <c r="A35" s="110">
        <f t="shared" si="0"/>
        <v>23</v>
      </c>
      <c r="B35" s="125"/>
      <c r="C35" s="133" t="s">
        <v>102</v>
      </c>
      <c r="D35" s="134"/>
    </row>
    <row r="36" spans="1:7" ht="15.75" customHeight="1">
      <c r="A36" s="110">
        <f t="shared" si="0"/>
        <v>24</v>
      </c>
      <c r="B36" s="135">
        <v>7560</v>
      </c>
      <c r="C36" s="118" t="s">
        <v>103</v>
      </c>
      <c r="D36" s="136">
        <f>'C.2.2 B 09'!P29</f>
        <v>0</v>
      </c>
    </row>
    <row r="37" spans="1:7" ht="15.75" customHeight="1">
      <c r="A37" s="110">
        <f t="shared" si="0"/>
        <v>25</v>
      </c>
      <c r="B37" s="135">
        <v>7590</v>
      </c>
      <c r="C37" s="118" t="s">
        <v>104</v>
      </c>
      <c r="D37" s="124">
        <f>'C.2.2 B 09'!P30</f>
        <v>0</v>
      </c>
    </row>
    <row r="38" spans="1:7" ht="15.75" customHeight="1">
      <c r="A38" s="110">
        <f t="shared" si="0"/>
        <v>26</v>
      </c>
      <c r="B38" s="125"/>
      <c r="C38" s="137" t="s">
        <v>105</v>
      </c>
      <c r="D38" s="119">
        <f>SUM(D36:D37)</f>
        <v>0</v>
      </c>
    </row>
    <row r="39" spans="1:7" ht="15.75" customHeight="1">
      <c r="A39" s="110">
        <f t="shared" si="0"/>
        <v>27</v>
      </c>
      <c r="B39" s="125"/>
      <c r="C39" s="137"/>
      <c r="D39" s="119"/>
    </row>
    <row r="40" spans="1:7" ht="15.75" customHeight="1">
      <c r="A40" s="110">
        <f t="shared" si="0"/>
        <v>28</v>
      </c>
      <c r="B40" s="125"/>
      <c r="C40" s="133" t="s">
        <v>106</v>
      </c>
      <c r="D40" s="123"/>
    </row>
    <row r="41" spans="1:7" ht="15.75" customHeight="1">
      <c r="A41" s="110">
        <f t="shared" si="0"/>
        <v>29</v>
      </c>
      <c r="B41" s="135">
        <v>7610</v>
      </c>
      <c r="C41" s="118" t="s">
        <v>107</v>
      </c>
      <c r="D41" s="138">
        <v>0</v>
      </c>
    </row>
    <row r="42" spans="1:7" ht="15.75" customHeight="1">
      <c r="A42" s="110">
        <f t="shared" si="0"/>
        <v>30</v>
      </c>
      <c r="B42" s="125"/>
      <c r="C42" s="104"/>
      <c r="D42" s="119">
        <f>SUM(D41)</f>
        <v>0</v>
      </c>
    </row>
    <row r="43" spans="1:7" ht="15.75" customHeight="1">
      <c r="A43" s="110">
        <f t="shared" si="0"/>
        <v>31</v>
      </c>
      <c r="B43" s="125"/>
      <c r="C43" s="133" t="s">
        <v>108</v>
      </c>
      <c r="D43" s="134"/>
    </row>
    <row r="44" spans="1:7" ht="15.75" customHeight="1">
      <c r="A44" s="110">
        <f t="shared" si="0"/>
        <v>32</v>
      </c>
      <c r="B44" s="135">
        <v>8140</v>
      </c>
      <c r="C44" s="118" t="s">
        <v>109</v>
      </c>
      <c r="D44" s="139">
        <f>'C.2.2 B 09'!P46</f>
        <v>0</v>
      </c>
    </row>
    <row r="45" spans="1:7" ht="15.75" customHeight="1">
      <c r="A45" s="110">
        <f t="shared" si="0"/>
        <v>33</v>
      </c>
      <c r="B45" s="135">
        <v>8150</v>
      </c>
      <c r="C45" s="118" t="s">
        <v>110</v>
      </c>
      <c r="D45" s="136">
        <v>0</v>
      </c>
    </row>
    <row r="46" spans="1:7" ht="15.75" customHeight="1">
      <c r="A46" s="110">
        <f t="shared" si="0"/>
        <v>34</v>
      </c>
      <c r="B46" s="135">
        <v>8160</v>
      </c>
      <c r="C46" s="118" t="s">
        <v>111</v>
      </c>
      <c r="D46" s="136">
        <f>'C.2.2 B 09'!P47</f>
        <v>128970.30463018743</v>
      </c>
    </row>
    <row r="47" spans="1:7" ht="15.75" customHeight="1">
      <c r="A47" s="110">
        <f t="shared" si="0"/>
        <v>35</v>
      </c>
      <c r="B47" s="135">
        <v>8170</v>
      </c>
      <c r="C47" s="118" t="s">
        <v>112</v>
      </c>
      <c r="D47" s="136">
        <f>'C.2.2 B 09'!P48</f>
        <v>35012.455108996946</v>
      </c>
    </row>
    <row r="48" spans="1:7" ht="15.75" customHeight="1">
      <c r="A48" s="110">
        <f t="shared" si="0"/>
        <v>36</v>
      </c>
      <c r="B48" s="135">
        <v>8180</v>
      </c>
      <c r="C48" s="118" t="s">
        <v>113</v>
      </c>
      <c r="D48" s="136">
        <f>'C.2.2 B 09'!P49</f>
        <v>34837.861808389884</v>
      </c>
    </row>
    <row r="49" spans="1:4" ht="15.75" customHeight="1">
      <c r="A49" s="110">
        <f t="shared" si="0"/>
        <v>37</v>
      </c>
      <c r="B49" s="140">
        <v>8190</v>
      </c>
      <c r="C49" s="141" t="s">
        <v>114</v>
      </c>
      <c r="D49" s="136">
        <f>'C.2.2 B 09'!P50</f>
        <v>1122.6154937582521</v>
      </c>
    </row>
    <row r="50" spans="1:4" ht="15.75" customHeight="1">
      <c r="A50" s="110">
        <f t="shared" si="0"/>
        <v>38</v>
      </c>
      <c r="B50" s="140">
        <v>8200</v>
      </c>
      <c r="C50" s="141" t="s">
        <v>115</v>
      </c>
      <c r="D50" s="136">
        <f>'C.2.2 B 09'!P51</f>
        <v>3666.7845814151633</v>
      </c>
    </row>
    <row r="51" spans="1:4" ht="15.75" customHeight="1">
      <c r="A51" s="110">
        <f t="shared" si="0"/>
        <v>39</v>
      </c>
      <c r="B51" s="140">
        <v>8210</v>
      </c>
      <c r="C51" s="141" t="s">
        <v>116</v>
      </c>
      <c r="D51" s="136">
        <f>'C.2.2 B 09'!P52</f>
        <v>25634.811314407776</v>
      </c>
    </row>
    <row r="52" spans="1:4" ht="15.75" customHeight="1">
      <c r="A52" s="110">
        <f t="shared" si="0"/>
        <v>40</v>
      </c>
      <c r="B52" s="140">
        <v>8240</v>
      </c>
      <c r="C52" s="141" t="s">
        <v>117</v>
      </c>
      <c r="D52" s="136">
        <f>'C.2.2 B 09'!P53</f>
        <v>0</v>
      </c>
    </row>
    <row r="53" spans="1:4" ht="15.75" customHeight="1">
      <c r="A53" s="110">
        <f t="shared" si="0"/>
        <v>41</v>
      </c>
      <c r="B53" s="140">
        <v>8250</v>
      </c>
      <c r="C53" s="141" t="s">
        <v>118</v>
      </c>
      <c r="D53" s="124">
        <f>'C.2.2 B 09'!P54</f>
        <v>13498.232385991532</v>
      </c>
    </row>
    <row r="54" spans="1:4" ht="15.75" customHeight="1">
      <c r="A54" s="110">
        <f t="shared" si="0"/>
        <v>42</v>
      </c>
      <c r="B54" s="125"/>
      <c r="C54" s="137" t="s">
        <v>119</v>
      </c>
      <c r="D54" s="119">
        <f>SUM(D44:D53)</f>
        <v>242743.06532314696</v>
      </c>
    </row>
    <row r="55" spans="1:4" ht="15.75" customHeight="1">
      <c r="A55" s="110">
        <f t="shared" si="0"/>
        <v>43</v>
      </c>
      <c r="B55" s="125"/>
      <c r="C55" s="104"/>
      <c r="D55" s="123"/>
    </row>
    <row r="56" spans="1:4" ht="15.75" customHeight="1">
      <c r="A56" s="110">
        <f t="shared" si="0"/>
        <v>44</v>
      </c>
      <c r="B56" s="125"/>
      <c r="C56" s="133" t="s">
        <v>120</v>
      </c>
      <c r="D56" s="123"/>
    </row>
    <row r="57" spans="1:4" ht="15.75" customHeight="1">
      <c r="A57" s="110">
        <f t="shared" si="0"/>
        <v>45</v>
      </c>
      <c r="B57" s="140">
        <v>8310</v>
      </c>
      <c r="C57" s="141" t="s">
        <v>121</v>
      </c>
      <c r="D57" s="139">
        <f>'C.2.2 B 09'!P55</f>
        <v>15144.962592184031</v>
      </c>
    </row>
    <row r="58" spans="1:4" ht="15.75" customHeight="1">
      <c r="A58" s="110">
        <f t="shared" si="0"/>
        <v>46</v>
      </c>
      <c r="B58" s="140">
        <v>8320</v>
      </c>
      <c r="C58" s="141" t="s">
        <v>122</v>
      </c>
      <c r="D58" s="136">
        <v>0</v>
      </c>
    </row>
    <row r="59" spans="1:4" ht="15.75" customHeight="1">
      <c r="A59" s="110">
        <f t="shared" si="0"/>
        <v>47</v>
      </c>
      <c r="B59" s="140">
        <v>8340</v>
      </c>
      <c r="C59" s="141" t="s">
        <v>123</v>
      </c>
      <c r="D59" s="136">
        <f>'C.2.2 B 09'!P56</f>
        <v>11247.78480437396</v>
      </c>
    </row>
    <row r="60" spans="1:4" ht="15.75" customHeight="1">
      <c r="A60" s="110">
        <f t="shared" si="0"/>
        <v>48</v>
      </c>
      <c r="B60" s="140">
        <v>8350</v>
      </c>
      <c r="C60" s="141" t="s">
        <v>124</v>
      </c>
      <c r="D60" s="136">
        <f>'C.2.2 B 09'!P57</f>
        <v>0</v>
      </c>
    </row>
    <row r="61" spans="1:4" ht="15.75" customHeight="1">
      <c r="A61" s="110">
        <f t="shared" si="0"/>
        <v>49</v>
      </c>
      <c r="B61" s="140">
        <v>8360</v>
      </c>
      <c r="C61" s="141" t="s">
        <v>125</v>
      </c>
      <c r="D61" s="136">
        <f>'C.2.2 B 09'!P58</f>
        <v>0</v>
      </c>
    </row>
    <row r="62" spans="1:4" ht="15.75" customHeight="1">
      <c r="A62" s="110">
        <f t="shared" si="0"/>
        <v>50</v>
      </c>
      <c r="B62" s="140">
        <v>8370</v>
      </c>
      <c r="C62" s="141" t="s">
        <v>126</v>
      </c>
      <c r="D62" s="136">
        <f>'C.2.2 B 09'!P59</f>
        <v>0</v>
      </c>
    </row>
    <row r="63" spans="1:4" ht="15.75" customHeight="1">
      <c r="A63" s="110">
        <f t="shared" si="0"/>
        <v>51</v>
      </c>
      <c r="B63" s="142" t="s">
        <v>127</v>
      </c>
      <c r="C63" s="141" t="s">
        <v>128</v>
      </c>
      <c r="D63" s="136">
        <f>'C.2.2 B 09'!P60</f>
        <v>133472.94446389066</v>
      </c>
    </row>
    <row r="64" spans="1:4" ht="15.75" customHeight="1">
      <c r="A64" s="110">
        <f t="shared" si="0"/>
        <v>52</v>
      </c>
      <c r="B64" s="125"/>
      <c r="C64" s="137" t="s">
        <v>129</v>
      </c>
      <c r="D64" s="130">
        <f>SUM(D57:D63)</f>
        <v>159865.69186044866</v>
      </c>
    </row>
    <row r="65" spans="1:7" ht="15.75" customHeight="1">
      <c r="A65" s="110">
        <f t="shared" si="0"/>
        <v>53</v>
      </c>
      <c r="B65" s="125"/>
      <c r="C65" s="104"/>
      <c r="D65" s="123"/>
    </row>
    <row r="66" spans="1:7" ht="15.75" customHeight="1">
      <c r="A66" s="110">
        <f t="shared" si="0"/>
        <v>54</v>
      </c>
      <c r="B66" s="125"/>
      <c r="C66" s="133" t="s">
        <v>130</v>
      </c>
      <c r="D66" s="123"/>
    </row>
    <row r="67" spans="1:7" ht="15.75" customHeight="1">
      <c r="A67" s="110">
        <f t="shared" si="0"/>
        <v>55</v>
      </c>
      <c r="B67" s="140">
        <v>8500</v>
      </c>
      <c r="C67" s="141" t="s">
        <v>109</v>
      </c>
      <c r="D67" s="139">
        <v>0</v>
      </c>
    </row>
    <row r="68" spans="1:7" ht="15.75" customHeight="1">
      <c r="A68" s="110">
        <f t="shared" si="0"/>
        <v>56</v>
      </c>
      <c r="B68" s="140">
        <v>8520</v>
      </c>
      <c r="C68" s="141" t="s">
        <v>131</v>
      </c>
      <c r="D68" s="136">
        <f>'C.2.2 B 09'!P61</f>
        <v>0</v>
      </c>
      <c r="G68" s="143"/>
    </row>
    <row r="69" spans="1:7" ht="15.75" customHeight="1">
      <c r="A69" s="110">
        <f t="shared" si="0"/>
        <v>57</v>
      </c>
      <c r="B69" s="140">
        <v>8550</v>
      </c>
      <c r="C69" s="141" t="s">
        <v>132</v>
      </c>
      <c r="D69" s="136">
        <f>'C.2.2 B 09'!P62</f>
        <v>332.03626380790166</v>
      </c>
      <c r="G69" s="143"/>
    </row>
    <row r="70" spans="1:7" ht="15.75" customHeight="1">
      <c r="A70" s="110">
        <f t="shared" si="0"/>
        <v>58</v>
      </c>
      <c r="B70" s="140">
        <v>8560</v>
      </c>
      <c r="C70" s="141" t="s">
        <v>133</v>
      </c>
      <c r="D70" s="136">
        <f>'C.2.2 B 09'!P63</f>
        <v>252639.51159502778</v>
      </c>
    </row>
    <row r="71" spans="1:7" ht="15.75" customHeight="1">
      <c r="A71" s="110">
        <f t="shared" si="0"/>
        <v>59</v>
      </c>
      <c r="B71" s="140">
        <v>8570</v>
      </c>
      <c r="C71" s="141" t="s">
        <v>134</v>
      </c>
      <c r="D71" s="136">
        <f>'C.2.2 B 09'!P64</f>
        <v>11617.869592657094</v>
      </c>
    </row>
    <row r="72" spans="1:7" ht="15.75" customHeight="1">
      <c r="A72" s="110">
        <f t="shared" si="0"/>
        <v>60</v>
      </c>
      <c r="B72" s="140">
        <v>8590</v>
      </c>
      <c r="C72" s="141" t="s">
        <v>135</v>
      </c>
      <c r="D72" s="136">
        <v>0</v>
      </c>
    </row>
    <row r="73" spans="1:7" ht="15.75" customHeight="1">
      <c r="A73" s="110">
        <f t="shared" si="0"/>
        <v>61</v>
      </c>
      <c r="B73" s="140">
        <v>8600</v>
      </c>
      <c r="C73" s="141" t="s">
        <v>136</v>
      </c>
      <c r="D73" s="124">
        <v>0</v>
      </c>
    </row>
    <row r="74" spans="1:7" ht="15.75" customHeight="1">
      <c r="A74" s="110">
        <f t="shared" si="0"/>
        <v>62</v>
      </c>
      <c r="B74" s="125"/>
      <c r="C74" s="137" t="s">
        <v>137</v>
      </c>
      <c r="D74" s="119">
        <f>SUM(D67:D73)</f>
        <v>264589.4174514928</v>
      </c>
    </row>
    <row r="75" spans="1:7" ht="15.75" customHeight="1">
      <c r="A75" s="110">
        <f t="shared" si="0"/>
        <v>63</v>
      </c>
      <c r="B75" s="125"/>
      <c r="C75" s="104"/>
      <c r="D75" s="123"/>
    </row>
    <row r="76" spans="1:7" ht="15.75" customHeight="1">
      <c r="A76" s="110">
        <f t="shared" si="0"/>
        <v>64</v>
      </c>
      <c r="B76" s="125"/>
      <c r="C76" s="133" t="s">
        <v>138</v>
      </c>
      <c r="D76" s="123"/>
    </row>
    <row r="77" spans="1:7" ht="15.75" customHeight="1">
      <c r="A77" s="110">
        <f t="shared" si="0"/>
        <v>65</v>
      </c>
      <c r="B77" s="140">
        <v>8620</v>
      </c>
      <c r="C77" s="141" t="s">
        <v>139</v>
      </c>
      <c r="D77" s="139">
        <v>0</v>
      </c>
    </row>
    <row r="78" spans="1:7" ht="15.75" customHeight="1">
      <c r="A78" s="110">
        <f t="shared" si="0"/>
        <v>66</v>
      </c>
      <c r="B78" s="140">
        <v>8630</v>
      </c>
      <c r="C78" s="141" t="s">
        <v>140</v>
      </c>
      <c r="D78" s="136">
        <f>'C.2.2 B 09'!P65</f>
        <v>2900.0863154740337</v>
      </c>
    </row>
    <row r="79" spans="1:7" ht="15.75" customHeight="1">
      <c r="A79" s="110">
        <f t="shared" ref="A79:A142" si="1">A78+1</f>
        <v>67</v>
      </c>
      <c r="B79" s="140">
        <v>8640</v>
      </c>
      <c r="C79" s="141" t="s">
        <v>141</v>
      </c>
      <c r="D79" s="136">
        <f>'C.2.2 B 09'!P66</f>
        <v>0</v>
      </c>
    </row>
    <row r="80" spans="1:7" ht="15.75" customHeight="1">
      <c r="A80" s="110">
        <f t="shared" si="1"/>
        <v>68</v>
      </c>
      <c r="B80" s="140">
        <v>8650</v>
      </c>
      <c r="C80" s="141" t="s">
        <v>142</v>
      </c>
      <c r="D80" s="136">
        <f>'C.2.2 B 09'!P67</f>
        <v>395.6378654704647</v>
      </c>
    </row>
    <row r="81" spans="1:5" ht="15.75" customHeight="1">
      <c r="A81" s="110">
        <f t="shared" si="1"/>
        <v>69</v>
      </c>
      <c r="B81" s="140">
        <v>8670</v>
      </c>
      <c r="C81" s="141" t="s">
        <v>143</v>
      </c>
      <c r="D81" s="124">
        <v>0</v>
      </c>
    </row>
    <row r="82" spans="1:5" ht="15.75" customHeight="1">
      <c r="A82" s="110">
        <f t="shared" si="1"/>
        <v>70</v>
      </c>
      <c r="B82" s="125"/>
      <c r="C82" s="137" t="s">
        <v>144</v>
      </c>
      <c r="D82" s="119">
        <f>SUM(D77:D81)</f>
        <v>3295.7241809444986</v>
      </c>
    </row>
    <row r="83" spans="1:5" ht="15.75" customHeight="1">
      <c r="A83" s="110">
        <f t="shared" si="1"/>
        <v>71</v>
      </c>
      <c r="B83" s="125"/>
      <c r="C83" s="104"/>
      <c r="D83" s="123"/>
    </row>
    <row r="84" spans="1:5" ht="15.75" customHeight="1">
      <c r="A84" s="110">
        <f t="shared" si="1"/>
        <v>72</v>
      </c>
      <c r="B84" s="125"/>
      <c r="C84" s="133" t="s">
        <v>145</v>
      </c>
      <c r="D84" s="126"/>
    </row>
    <row r="85" spans="1:5" ht="15.75" customHeight="1">
      <c r="A85" s="110">
        <f t="shared" si="1"/>
        <v>73</v>
      </c>
      <c r="B85" s="117">
        <v>8001</v>
      </c>
      <c r="C85" s="118" t="s">
        <v>146</v>
      </c>
      <c r="D85" s="139">
        <f>'C.2.2 B 09'!P31</f>
        <v>0</v>
      </c>
      <c r="E85" s="144"/>
    </row>
    <row r="86" spans="1:5" ht="15.75" customHeight="1">
      <c r="A86" s="110">
        <f t="shared" si="1"/>
        <v>74</v>
      </c>
      <c r="B86" s="117">
        <v>8010</v>
      </c>
      <c r="C86" s="145" t="s">
        <v>147</v>
      </c>
      <c r="D86" s="136">
        <f>'C.2.2 B 09'!P32</f>
        <v>73968.876695950108</v>
      </c>
      <c r="E86" s="144"/>
    </row>
    <row r="87" spans="1:5" ht="15.75" customHeight="1">
      <c r="A87" s="110">
        <f t="shared" si="1"/>
        <v>75</v>
      </c>
      <c r="B87" s="117">
        <v>8040</v>
      </c>
      <c r="C87" s="111" t="s">
        <v>148</v>
      </c>
      <c r="D87" s="136">
        <f>'C.2.2 B 09'!P33</f>
        <v>51863463.289276235</v>
      </c>
      <c r="E87" s="144"/>
    </row>
    <row r="88" spans="1:5" ht="15.75" customHeight="1">
      <c r="A88" s="110">
        <f t="shared" si="1"/>
        <v>76</v>
      </c>
      <c r="B88" s="117">
        <v>8045</v>
      </c>
      <c r="C88" s="111" t="s">
        <v>149</v>
      </c>
      <c r="D88" s="136">
        <v>0</v>
      </c>
      <c r="E88" s="144"/>
    </row>
    <row r="89" spans="1:5" ht="15.75" customHeight="1">
      <c r="A89" s="110">
        <f t="shared" si="1"/>
        <v>77</v>
      </c>
      <c r="B89" s="117">
        <v>8050</v>
      </c>
      <c r="C89" s="118" t="s">
        <v>150</v>
      </c>
      <c r="D89" s="136">
        <f>'C.2.2 B 09'!P34</f>
        <v>-16802.690165322019</v>
      </c>
      <c r="E89" s="144"/>
    </row>
    <row r="90" spans="1:5" ht="15.75" customHeight="1">
      <c r="A90" s="110">
        <f t="shared" si="1"/>
        <v>78</v>
      </c>
      <c r="B90" s="117">
        <v>8051</v>
      </c>
      <c r="C90" s="111" t="s">
        <v>151</v>
      </c>
      <c r="D90" s="136">
        <f>'C.2.2 B 09'!P35</f>
        <v>36547883.56070222</v>
      </c>
      <c r="E90" s="144"/>
    </row>
    <row r="91" spans="1:5" ht="15.75" customHeight="1">
      <c r="A91" s="110">
        <f t="shared" si="1"/>
        <v>79</v>
      </c>
      <c r="B91" s="117">
        <v>8052</v>
      </c>
      <c r="C91" s="111" t="s">
        <v>152</v>
      </c>
      <c r="D91" s="136">
        <f>'C.2.2 B 09'!P36</f>
        <v>19322135.571964119</v>
      </c>
      <c r="E91" s="144"/>
    </row>
    <row r="92" spans="1:5" ht="15.75" customHeight="1">
      <c r="A92" s="110">
        <f t="shared" si="1"/>
        <v>80</v>
      </c>
      <c r="B92" s="117">
        <v>8053</v>
      </c>
      <c r="C92" s="111" t="s">
        <v>153</v>
      </c>
      <c r="D92" s="136">
        <f>'C.2.2 B 09'!P37</f>
        <v>4914402.3401601929</v>
      </c>
      <c r="E92" s="144"/>
    </row>
    <row r="93" spans="1:5" ht="15.75" customHeight="1">
      <c r="A93" s="110">
        <f t="shared" si="1"/>
        <v>81</v>
      </c>
      <c r="B93" s="117">
        <v>8054</v>
      </c>
      <c r="C93" s="111" t="s">
        <v>154</v>
      </c>
      <c r="D93" s="136">
        <f>'C.2.2 B 09'!P38</f>
        <v>3720082.4440469779</v>
      </c>
      <c r="E93" s="144"/>
    </row>
    <row r="94" spans="1:5" ht="15.75" customHeight="1">
      <c r="A94" s="110">
        <f t="shared" si="1"/>
        <v>82</v>
      </c>
      <c r="B94" s="117">
        <v>8057</v>
      </c>
      <c r="C94" s="111" t="s">
        <v>155</v>
      </c>
      <c r="D94" s="136">
        <v>0</v>
      </c>
      <c r="E94" s="144"/>
    </row>
    <row r="95" spans="1:5" ht="15.75" customHeight="1">
      <c r="A95" s="110">
        <f t="shared" si="1"/>
        <v>83</v>
      </c>
      <c r="B95" s="117">
        <v>8058</v>
      </c>
      <c r="C95" s="111" t="s">
        <v>156</v>
      </c>
      <c r="D95" s="136">
        <f>'C.2.2 B 09'!P39</f>
        <v>1061715.060666963</v>
      </c>
      <c r="E95" s="144"/>
    </row>
    <row r="96" spans="1:5" ht="15.75" customHeight="1">
      <c r="A96" s="110">
        <f t="shared" si="1"/>
        <v>84</v>
      </c>
      <c r="B96" s="117">
        <v>8059</v>
      </c>
      <c r="C96" s="111" t="s">
        <v>157</v>
      </c>
      <c r="D96" s="136">
        <f>'C.2.2 B 09'!P40</f>
        <v>-74730667.771736294</v>
      </c>
      <c r="E96" s="144"/>
    </row>
    <row r="97" spans="1:6" ht="15.75" customHeight="1">
      <c r="A97" s="110">
        <f t="shared" si="1"/>
        <v>85</v>
      </c>
      <c r="B97" s="117">
        <v>8060</v>
      </c>
      <c r="C97" s="111" t="s">
        <v>158</v>
      </c>
      <c r="D97" s="136">
        <f>'C.2.2 B 09'!P41</f>
        <v>1872117.4936615911</v>
      </c>
      <c r="E97" s="144"/>
    </row>
    <row r="98" spans="1:6" ht="15.75" customHeight="1">
      <c r="A98" s="110">
        <f t="shared" si="1"/>
        <v>86</v>
      </c>
      <c r="B98" s="117">
        <v>8081</v>
      </c>
      <c r="C98" s="111" t="s">
        <v>159</v>
      </c>
      <c r="D98" s="136">
        <f>'C.2.2 B 09'!P42</f>
        <v>10862929.794191871</v>
      </c>
      <c r="E98" s="144"/>
    </row>
    <row r="99" spans="1:6" ht="15.75" customHeight="1">
      <c r="A99" s="110">
        <f t="shared" si="1"/>
        <v>87</v>
      </c>
      <c r="B99" s="117">
        <v>8082</v>
      </c>
      <c r="C99" s="111" t="s">
        <v>160</v>
      </c>
      <c r="D99" s="136">
        <f>'C.2.2 B 09'!P43</f>
        <v>-17187952.161440887</v>
      </c>
      <c r="E99" s="144"/>
    </row>
    <row r="100" spans="1:6" ht="15.75" customHeight="1">
      <c r="A100" s="110">
        <f t="shared" si="1"/>
        <v>88</v>
      </c>
      <c r="B100" s="117">
        <v>8110</v>
      </c>
      <c r="C100" s="111" t="s">
        <v>161</v>
      </c>
      <c r="D100" s="136">
        <v>0</v>
      </c>
      <c r="E100" s="144"/>
    </row>
    <row r="101" spans="1:6" ht="15.75" customHeight="1">
      <c r="A101" s="110">
        <f t="shared" si="1"/>
        <v>89</v>
      </c>
      <c r="B101" s="117">
        <v>8120</v>
      </c>
      <c r="C101" s="111" t="s">
        <v>162</v>
      </c>
      <c r="D101" s="136">
        <f>'C.2.2 B 09'!P44</f>
        <v>-20204.596324208855</v>
      </c>
      <c r="E101" s="144"/>
    </row>
    <row r="102" spans="1:6" ht="15.75" customHeight="1">
      <c r="A102" s="110">
        <f t="shared" si="1"/>
        <v>90</v>
      </c>
      <c r="B102" s="117">
        <v>8130</v>
      </c>
      <c r="C102" s="111" t="s">
        <v>162</v>
      </c>
      <c r="D102" s="136">
        <v>0</v>
      </c>
      <c r="E102" s="144"/>
    </row>
    <row r="103" spans="1:6" ht="15.75" customHeight="1">
      <c r="A103" s="110">
        <f t="shared" si="1"/>
        <v>91</v>
      </c>
      <c r="B103" s="117">
        <v>8580</v>
      </c>
      <c r="C103" s="111" t="s">
        <v>163</v>
      </c>
      <c r="D103" s="124">
        <f>'C.2.2 B 09'!P45</f>
        <v>27262943.169516858</v>
      </c>
      <c r="E103" s="144"/>
      <c r="F103" s="79"/>
    </row>
    <row r="104" spans="1:6" ht="15.75" customHeight="1">
      <c r="A104" s="110">
        <f t="shared" si="1"/>
        <v>92</v>
      </c>
      <c r="B104" s="125"/>
      <c r="C104" s="146" t="s">
        <v>164</v>
      </c>
      <c r="D104" s="119">
        <f>SUM(D85:D103)</f>
        <v>65546014.381216273</v>
      </c>
      <c r="F104" s="147"/>
    </row>
    <row r="105" spans="1:6" ht="15.75" customHeight="1">
      <c r="A105" s="110">
        <f t="shared" si="1"/>
        <v>93</v>
      </c>
      <c r="B105" s="125"/>
      <c r="D105" s="134"/>
    </row>
    <row r="106" spans="1:6" ht="15.75" customHeight="1">
      <c r="A106" s="110">
        <f t="shared" si="1"/>
        <v>94</v>
      </c>
      <c r="B106" s="125"/>
      <c r="C106" s="133" t="s">
        <v>165</v>
      </c>
      <c r="D106" s="134"/>
    </row>
    <row r="107" spans="1:6" ht="15.75" customHeight="1">
      <c r="A107" s="110">
        <f t="shared" si="1"/>
        <v>95</v>
      </c>
      <c r="B107" s="117">
        <v>8700</v>
      </c>
      <c r="C107" s="118" t="s">
        <v>166</v>
      </c>
      <c r="D107" s="139">
        <f>'C.2.2 B 09'!P68</f>
        <v>1193064.7758118485</v>
      </c>
    </row>
    <row r="108" spans="1:6" ht="15.75" customHeight="1">
      <c r="A108" s="110">
        <f t="shared" si="1"/>
        <v>96</v>
      </c>
      <c r="B108" s="117">
        <v>8710</v>
      </c>
      <c r="C108" s="118" t="s">
        <v>167</v>
      </c>
      <c r="D108" s="136">
        <f>'C.2.2 B 09'!P69</f>
        <v>1103.2196448664054</v>
      </c>
    </row>
    <row r="109" spans="1:6" ht="15.75" customHeight="1">
      <c r="A109" s="110">
        <f t="shared" si="1"/>
        <v>97</v>
      </c>
      <c r="B109" s="117">
        <v>8711</v>
      </c>
      <c r="C109" s="111" t="s">
        <v>168</v>
      </c>
      <c r="D109" s="136">
        <f>'C.2.2 B 09'!P70</f>
        <v>2544.7323411015291</v>
      </c>
    </row>
    <row r="110" spans="1:6" ht="15.75" customHeight="1">
      <c r="A110" s="110">
        <f t="shared" si="1"/>
        <v>98</v>
      </c>
      <c r="B110" s="117">
        <v>8720</v>
      </c>
      <c r="C110" s="118" t="s">
        <v>169</v>
      </c>
      <c r="D110" s="136">
        <f>'C.2.2 B 09'!P71</f>
        <v>0</v>
      </c>
    </row>
    <row r="111" spans="1:6" ht="15.75" customHeight="1">
      <c r="A111" s="110">
        <f t="shared" si="1"/>
        <v>99</v>
      </c>
      <c r="B111" s="117">
        <v>8740</v>
      </c>
      <c r="C111" s="118" t="s">
        <v>170</v>
      </c>
      <c r="D111" s="136">
        <f>'C.2.2 B 09'!P72</f>
        <v>3300058.753444274</v>
      </c>
    </row>
    <row r="112" spans="1:6" ht="15.75" customHeight="1">
      <c r="A112" s="110">
        <f t="shared" si="1"/>
        <v>100</v>
      </c>
      <c r="B112" s="117">
        <v>8750</v>
      </c>
      <c r="C112" s="118" t="s">
        <v>171</v>
      </c>
      <c r="D112" s="136">
        <f>'C.2.2 B 09'!P73</f>
        <v>478055.06217812601</v>
      </c>
    </row>
    <row r="113" spans="1:4" ht="15.75" customHeight="1">
      <c r="A113" s="110">
        <f t="shared" si="1"/>
        <v>101</v>
      </c>
      <c r="B113" s="117">
        <v>8760</v>
      </c>
      <c r="C113" s="118" t="s">
        <v>172</v>
      </c>
      <c r="D113" s="136">
        <f>'C.2.2 B 09'!P74</f>
        <v>30153.919069219461</v>
      </c>
    </row>
    <row r="114" spans="1:4" ht="15.75" customHeight="1">
      <c r="A114" s="110">
        <f t="shared" si="1"/>
        <v>102</v>
      </c>
      <c r="B114" s="117">
        <v>8770</v>
      </c>
      <c r="C114" s="118" t="s">
        <v>173</v>
      </c>
      <c r="D114" s="136">
        <f>'C.2.2 B 09'!P75</f>
        <v>22074.208092721281</v>
      </c>
    </row>
    <row r="115" spans="1:4" ht="15.75" customHeight="1">
      <c r="A115" s="110">
        <f t="shared" si="1"/>
        <v>103</v>
      </c>
      <c r="B115" s="117">
        <v>8780</v>
      </c>
      <c r="C115" s="118" t="s">
        <v>174</v>
      </c>
      <c r="D115" s="136">
        <f>'C.2.2 B 09'!P76</f>
        <v>934416.13374619116</v>
      </c>
    </row>
    <row r="116" spans="1:4" ht="15.75" customHeight="1">
      <c r="A116" s="110">
        <f t="shared" si="1"/>
        <v>104</v>
      </c>
      <c r="B116" s="117">
        <v>8790</v>
      </c>
      <c r="C116" s="118" t="s">
        <v>175</v>
      </c>
      <c r="D116" s="136">
        <f>'C.2.2 B 09'!P77</f>
        <v>4013.7773096211868</v>
      </c>
    </row>
    <row r="117" spans="1:4" ht="15.75" customHeight="1">
      <c r="A117" s="110">
        <f t="shared" si="1"/>
        <v>105</v>
      </c>
      <c r="B117" s="117">
        <v>8800</v>
      </c>
      <c r="C117" s="118" t="s">
        <v>176</v>
      </c>
      <c r="D117" s="136">
        <f>'C.2.2 B 09'!P78</f>
        <v>149633.49444794879</v>
      </c>
    </row>
    <row r="118" spans="1:4" ht="15.75" customHeight="1">
      <c r="A118" s="110">
        <f t="shared" si="1"/>
        <v>106</v>
      </c>
      <c r="B118" s="117">
        <v>8810</v>
      </c>
      <c r="C118" s="118" t="s">
        <v>136</v>
      </c>
      <c r="D118" s="124">
        <f>'C.2.2 B 09'!P79</f>
        <v>383107.51066346146</v>
      </c>
    </row>
    <row r="119" spans="1:4" ht="15.75" customHeight="1">
      <c r="A119" s="110">
        <f t="shared" si="1"/>
        <v>107</v>
      </c>
      <c r="B119" s="125"/>
      <c r="C119" s="137" t="s">
        <v>177</v>
      </c>
      <c r="D119" s="119">
        <f>SUM(D107:D118)</f>
        <v>6498225.5867493786</v>
      </c>
    </row>
    <row r="120" spans="1:4" ht="15.75" customHeight="1">
      <c r="A120" s="110">
        <f t="shared" si="1"/>
        <v>108</v>
      </c>
      <c r="B120" s="125"/>
      <c r="C120" s="104"/>
      <c r="D120" s="123"/>
    </row>
    <row r="121" spans="1:4" ht="15.75" customHeight="1">
      <c r="A121" s="110">
        <f t="shared" si="1"/>
        <v>109</v>
      </c>
      <c r="B121" s="110"/>
      <c r="C121" s="133" t="s">
        <v>178</v>
      </c>
      <c r="D121" s="126"/>
    </row>
    <row r="122" spans="1:4" ht="15.75" customHeight="1">
      <c r="A122" s="110">
        <f t="shared" si="1"/>
        <v>110</v>
      </c>
      <c r="B122" s="117">
        <v>8850</v>
      </c>
      <c r="C122" s="118" t="s">
        <v>166</v>
      </c>
      <c r="D122" s="139">
        <f>'C.2.2 B 09'!P80</f>
        <v>1623.0670662596563</v>
      </c>
    </row>
    <row r="123" spans="1:4" ht="15.75" customHeight="1">
      <c r="A123" s="110">
        <f t="shared" si="1"/>
        <v>111</v>
      </c>
      <c r="B123" s="117">
        <v>8860</v>
      </c>
      <c r="C123" s="118" t="s">
        <v>139</v>
      </c>
      <c r="D123" s="136">
        <f>'C.2.2 B 09'!P81</f>
        <v>299.69783559778364</v>
      </c>
    </row>
    <row r="124" spans="1:4" ht="15.75" customHeight="1">
      <c r="A124" s="110">
        <f t="shared" si="1"/>
        <v>112</v>
      </c>
      <c r="B124" s="117">
        <v>8870</v>
      </c>
      <c r="C124" s="118" t="s">
        <v>140</v>
      </c>
      <c r="D124" s="136">
        <f>'C.2.2 B 09'!P82</f>
        <v>29454.642555986084</v>
      </c>
    </row>
    <row r="125" spans="1:4" ht="15.75" customHeight="1">
      <c r="A125" s="110">
        <f t="shared" si="1"/>
        <v>113</v>
      </c>
      <c r="B125" s="117">
        <v>8890</v>
      </c>
      <c r="C125" s="118" t="s">
        <v>171</v>
      </c>
      <c r="D125" s="136">
        <f>'C.2.2 B 09'!P83</f>
        <v>36.114656480308867</v>
      </c>
    </row>
    <row r="126" spans="1:4" ht="15.75" customHeight="1">
      <c r="A126" s="110">
        <f t="shared" si="1"/>
        <v>114</v>
      </c>
      <c r="B126" s="117">
        <v>8900</v>
      </c>
      <c r="C126" s="118" t="s">
        <v>172</v>
      </c>
      <c r="D126" s="136">
        <f>'C.2.2 B 09'!P84</f>
        <v>8796.2837416703478</v>
      </c>
    </row>
    <row r="127" spans="1:4" ht="15.75" customHeight="1">
      <c r="A127" s="110">
        <f t="shared" si="1"/>
        <v>115</v>
      </c>
      <c r="B127" s="117">
        <v>8910</v>
      </c>
      <c r="C127" s="118" t="s">
        <v>173</v>
      </c>
      <c r="D127" s="136">
        <f>'C.2.2 B 09'!P85</f>
        <v>4280.7808136643916</v>
      </c>
    </row>
    <row r="128" spans="1:4" ht="15.75" customHeight="1">
      <c r="A128" s="110">
        <f t="shared" si="1"/>
        <v>116</v>
      </c>
      <c r="B128" s="117">
        <v>8920</v>
      </c>
      <c r="C128" s="118" t="s">
        <v>179</v>
      </c>
      <c r="D128" s="136">
        <f>'C.2.2 B 09'!P86</f>
        <v>101.95075333814162</v>
      </c>
    </row>
    <row r="129" spans="1:5" ht="15.75" customHeight="1">
      <c r="A129" s="110">
        <f t="shared" si="1"/>
        <v>117</v>
      </c>
      <c r="B129" s="117">
        <v>8930</v>
      </c>
      <c r="C129" s="118" t="s">
        <v>180</v>
      </c>
      <c r="D129" s="136">
        <f>'C.2.2 B 09'!P87</f>
        <v>89917.213566702529</v>
      </c>
    </row>
    <row r="130" spans="1:5" ht="15.75" customHeight="1">
      <c r="A130" s="110">
        <f t="shared" si="1"/>
        <v>118</v>
      </c>
      <c r="B130" s="117">
        <v>8940</v>
      </c>
      <c r="C130" s="118" t="s">
        <v>143</v>
      </c>
      <c r="D130" s="136">
        <f>'C.2.2 B 09'!P88</f>
        <v>11082.624415208618</v>
      </c>
    </row>
    <row r="131" spans="1:5" ht="15.75" customHeight="1">
      <c r="A131" s="110">
        <f t="shared" si="1"/>
        <v>119</v>
      </c>
      <c r="B131" s="117">
        <v>8950</v>
      </c>
      <c r="C131" s="118" t="s">
        <v>181</v>
      </c>
      <c r="D131" s="124">
        <v>0</v>
      </c>
    </row>
    <row r="132" spans="1:5" ht="15.75" customHeight="1">
      <c r="A132" s="110">
        <f t="shared" si="1"/>
        <v>120</v>
      </c>
      <c r="B132" s="125"/>
      <c r="C132" s="137" t="s">
        <v>182</v>
      </c>
      <c r="D132" s="119">
        <f>SUM(D122:D131)</f>
        <v>145592.37540490786</v>
      </c>
    </row>
    <row r="133" spans="1:5" ht="15.75" customHeight="1">
      <c r="A133" s="110">
        <f t="shared" si="1"/>
        <v>121</v>
      </c>
      <c r="B133" s="125"/>
      <c r="C133" s="137"/>
      <c r="D133" s="123"/>
    </row>
    <row r="134" spans="1:5" ht="15.75" customHeight="1">
      <c r="A134" s="110">
        <f t="shared" si="1"/>
        <v>122</v>
      </c>
      <c r="B134" s="110"/>
      <c r="C134" s="133" t="s">
        <v>183</v>
      </c>
      <c r="D134" s="126"/>
    </row>
    <row r="135" spans="1:5" ht="15.75" customHeight="1">
      <c r="A135" s="110">
        <f t="shared" si="1"/>
        <v>123</v>
      </c>
      <c r="B135" s="117">
        <v>9010</v>
      </c>
      <c r="C135" s="118" t="s">
        <v>184</v>
      </c>
      <c r="D135" s="139">
        <f>'C.2.2 B 09'!P89</f>
        <v>406.0930132024418</v>
      </c>
    </row>
    <row r="136" spans="1:5" ht="15.75" customHeight="1">
      <c r="A136" s="110">
        <f t="shared" si="1"/>
        <v>124</v>
      </c>
      <c r="B136" s="117">
        <v>9020</v>
      </c>
      <c r="C136" s="118" t="s">
        <v>185</v>
      </c>
      <c r="D136" s="136">
        <f>'C.2.2 B 09'!P90</f>
        <v>1186801.9868062921</v>
      </c>
    </row>
    <row r="137" spans="1:5" ht="15.75" customHeight="1">
      <c r="A137" s="110">
        <f t="shared" si="1"/>
        <v>125</v>
      </c>
      <c r="B137" s="117">
        <v>9030</v>
      </c>
      <c r="C137" s="118" t="s">
        <v>186</v>
      </c>
      <c r="D137" s="136">
        <f>'C.2.2 B 09'!P91</f>
        <v>1660971.6767347548</v>
      </c>
    </row>
    <row r="138" spans="1:5" ht="15.75" customHeight="1">
      <c r="A138" s="110">
        <f t="shared" si="1"/>
        <v>126</v>
      </c>
      <c r="B138" s="117">
        <v>9040</v>
      </c>
      <c r="C138" s="118" t="s">
        <v>187</v>
      </c>
      <c r="D138" s="124">
        <f>'C.2.2 B 09'!P92</f>
        <v>369911.19170000002</v>
      </c>
      <c r="E138" s="148"/>
    </row>
    <row r="139" spans="1:5" ht="15.75" customHeight="1">
      <c r="A139" s="110">
        <f t="shared" si="1"/>
        <v>127</v>
      </c>
      <c r="B139" s="110"/>
      <c r="C139" s="137" t="s">
        <v>188</v>
      </c>
      <c r="D139" s="119">
        <f>SUM(D135:D138)</f>
        <v>3218090.9482542495</v>
      </c>
    </row>
    <row r="140" spans="1:5" ht="15.75" customHeight="1">
      <c r="A140" s="110">
        <f t="shared" si="1"/>
        <v>128</v>
      </c>
      <c r="B140" s="125"/>
      <c r="C140" s="137"/>
      <c r="D140" s="123"/>
    </row>
    <row r="141" spans="1:5" ht="15.75" customHeight="1">
      <c r="A141" s="110">
        <f t="shared" si="1"/>
        <v>129</v>
      </c>
      <c r="B141" s="125"/>
      <c r="C141" s="133" t="s">
        <v>189</v>
      </c>
      <c r="D141" s="134"/>
    </row>
    <row r="142" spans="1:5" ht="15.75" customHeight="1">
      <c r="A142" s="110">
        <f t="shared" si="1"/>
        <v>130</v>
      </c>
      <c r="B142" s="117">
        <v>9070</v>
      </c>
      <c r="C142" s="118" t="s">
        <v>184</v>
      </c>
      <c r="D142" s="139">
        <v>0</v>
      </c>
    </row>
    <row r="143" spans="1:5" ht="15.75" customHeight="1">
      <c r="A143" s="110">
        <f t="shared" ref="A143:A181" si="2">A142+1</f>
        <v>131</v>
      </c>
      <c r="B143" s="117">
        <v>9080</v>
      </c>
      <c r="C143" s="118" t="s">
        <v>190</v>
      </c>
      <c r="D143" s="136">
        <v>0</v>
      </c>
    </row>
    <row r="144" spans="1:5" ht="15.75" customHeight="1">
      <c r="A144" s="110">
        <f t="shared" si="2"/>
        <v>132</v>
      </c>
      <c r="B144" s="117">
        <v>9090</v>
      </c>
      <c r="C144" s="118" t="s">
        <v>191</v>
      </c>
      <c r="D144" s="136">
        <f>'C.2.2 B 09'!P93</f>
        <v>134412.29365729415</v>
      </c>
    </row>
    <row r="145" spans="1:4" ht="15.75" customHeight="1">
      <c r="A145" s="110">
        <f t="shared" si="2"/>
        <v>133</v>
      </c>
      <c r="B145" s="117">
        <v>9100</v>
      </c>
      <c r="C145" s="118" t="s">
        <v>192</v>
      </c>
      <c r="D145" s="124">
        <f>'C.2.2 B 09'!P94</f>
        <v>0</v>
      </c>
    </row>
    <row r="146" spans="1:4" ht="15.75" customHeight="1">
      <c r="A146" s="110">
        <f t="shared" si="2"/>
        <v>134</v>
      </c>
      <c r="B146" s="110"/>
      <c r="C146" s="137" t="s">
        <v>193</v>
      </c>
      <c r="D146" s="119">
        <f>SUM(D142:D145)</f>
        <v>134412.29365729415</v>
      </c>
    </row>
    <row r="147" spans="1:4" ht="15.75" customHeight="1">
      <c r="A147" s="110">
        <f t="shared" si="2"/>
        <v>135</v>
      </c>
      <c r="B147" s="110"/>
      <c r="C147" s="114"/>
      <c r="D147" s="126"/>
    </row>
    <row r="148" spans="1:4" ht="15.75" customHeight="1">
      <c r="A148" s="110">
        <f t="shared" si="2"/>
        <v>136</v>
      </c>
      <c r="B148" s="110"/>
      <c r="C148" s="133" t="s">
        <v>66</v>
      </c>
      <c r="D148" s="126"/>
    </row>
    <row r="149" spans="1:4" ht="15.75" customHeight="1">
      <c r="A149" s="110">
        <f t="shared" si="2"/>
        <v>137</v>
      </c>
      <c r="B149" s="117">
        <v>9110</v>
      </c>
      <c r="C149" s="118" t="s">
        <v>184</v>
      </c>
      <c r="D149" s="139">
        <f>'C.2.2 B 09'!P95</f>
        <v>255129.29012212393</v>
      </c>
    </row>
    <row r="150" spans="1:4" ht="15.75" customHeight="1">
      <c r="A150" s="110">
        <f t="shared" si="2"/>
        <v>138</v>
      </c>
      <c r="B150" s="117">
        <v>9120</v>
      </c>
      <c r="C150" s="118" t="s">
        <v>194</v>
      </c>
      <c r="D150" s="136">
        <f>'C.2.2 B 09'!P96</f>
        <v>117086.30179510081</v>
      </c>
    </row>
    <row r="151" spans="1:4" ht="15.75" customHeight="1">
      <c r="A151" s="110">
        <f t="shared" si="2"/>
        <v>139</v>
      </c>
      <c r="B151" s="117">
        <v>9130</v>
      </c>
      <c r="C151" s="118" t="s">
        <v>195</v>
      </c>
      <c r="D151" s="136">
        <f>'C.2.2 B 09'!P97</f>
        <v>38737.06849407807</v>
      </c>
    </row>
    <row r="152" spans="1:4" ht="15.75" customHeight="1">
      <c r="A152" s="110">
        <f t="shared" si="2"/>
        <v>140</v>
      </c>
      <c r="B152" s="117">
        <v>9160</v>
      </c>
      <c r="C152" s="118" t="s">
        <v>196</v>
      </c>
      <c r="D152" s="124">
        <v>0</v>
      </c>
    </row>
    <row r="153" spans="1:4" ht="15.75" customHeight="1">
      <c r="A153" s="110">
        <f t="shared" si="2"/>
        <v>141</v>
      </c>
      <c r="B153" s="110"/>
      <c r="C153" s="137" t="s">
        <v>197</v>
      </c>
      <c r="D153" s="119">
        <f>SUM(D149:D152)</f>
        <v>410952.66041130282</v>
      </c>
    </row>
    <row r="154" spans="1:4" ht="15.75" customHeight="1">
      <c r="A154" s="110">
        <f t="shared" si="2"/>
        <v>142</v>
      </c>
      <c r="B154" s="125"/>
      <c r="D154" s="126"/>
    </row>
    <row r="155" spans="1:4" ht="15.75" customHeight="1">
      <c r="A155" s="110">
        <f t="shared" si="2"/>
        <v>143</v>
      </c>
      <c r="B155" s="110"/>
      <c r="C155" s="133" t="s">
        <v>198</v>
      </c>
      <c r="D155" s="126"/>
    </row>
    <row r="156" spans="1:4" ht="15.75" customHeight="1">
      <c r="A156" s="110">
        <f t="shared" si="2"/>
        <v>144</v>
      </c>
      <c r="B156" s="117">
        <v>9200</v>
      </c>
      <c r="C156" s="118" t="s">
        <v>199</v>
      </c>
      <c r="D156" s="139">
        <f>'C.2.2 B 09'!P98</f>
        <v>141985.19929653441</v>
      </c>
    </row>
    <row r="157" spans="1:4" ht="15.75" customHeight="1">
      <c r="A157" s="110">
        <f t="shared" si="2"/>
        <v>145</v>
      </c>
      <c r="B157" s="117">
        <v>9210</v>
      </c>
      <c r="C157" s="118" t="s">
        <v>200</v>
      </c>
      <c r="D157" s="136">
        <f>'C.2.2 B 09'!P99</f>
        <v>1379.9935257030206</v>
      </c>
    </row>
    <row r="158" spans="1:4" ht="15.75" customHeight="1">
      <c r="A158" s="110">
        <f t="shared" si="2"/>
        <v>146</v>
      </c>
      <c r="B158" s="117">
        <v>9220</v>
      </c>
      <c r="C158" s="118" t="s">
        <v>201</v>
      </c>
      <c r="D158" s="136">
        <f>'C.2.2 B 09'!P100</f>
        <v>13526079.802595161</v>
      </c>
    </row>
    <row r="159" spans="1:4" ht="15.75" customHeight="1">
      <c r="A159" s="110">
        <f t="shared" si="2"/>
        <v>147</v>
      </c>
      <c r="B159" s="117">
        <v>9230</v>
      </c>
      <c r="C159" s="118" t="s">
        <v>202</v>
      </c>
      <c r="D159" s="136">
        <f>'C.2.2 B 09'!P101</f>
        <v>64810.557379835765</v>
      </c>
    </row>
    <row r="160" spans="1:4" ht="15.75" customHeight="1">
      <c r="A160" s="110">
        <f t="shared" si="2"/>
        <v>148</v>
      </c>
      <c r="B160" s="117">
        <v>9240</v>
      </c>
      <c r="C160" s="118" t="s">
        <v>203</v>
      </c>
      <c r="D160" s="136">
        <f>'C.2.2 B 09'!P102</f>
        <v>88982.39662252953</v>
      </c>
    </row>
    <row r="161" spans="1:7" ht="15.75" customHeight="1">
      <c r="A161" s="110">
        <f t="shared" si="2"/>
        <v>149</v>
      </c>
      <c r="B161" s="117">
        <v>9250</v>
      </c>
      <c r="C161" s="118" t="s">
        <v>204</v>
      </c>
      <c r="D161" s="136">
        <f>'C.2.2 B 09'!P103</f>
        <v>18680.978177223515</v>
      </c>
    </row>
    <row r="162" spans="1:7" ht="15.75" customHeight="1">
      <c r="A162" s="110">
        <f t="shared" si="2"/>
        <v>150</v>
      </c>
      <c r="B162" s="117">
        <v>9260</v>
      </c>
      <c r="C162" s="118" t="s">
        <v>205</v>
      </c>
      <c r="D162" s="136">
        <f>'C.2.2 B 09'!P104</f>
        <v>1947365.4299807029</v>
      </c>
    </row>
    <row r="163" spans="1:7" ht="15.75" customHeight="1">
      <c r="A163" s="110">
        <f t="shared" si="2"/>
        <v>151</v>
      </c>
      <c r="B163" s="117">
        <v>9270</v>
      </c>
      <c r="C163" s="118" t="s">
        <v>206</v>
      </c>
      <c r="D163" s="136">
        <f>'C.2.2 B 09'!P105</f>
        <v>6390.3648239198037</v>
      </c>
    </row>
    <row r="164" spans="1:7" ht="15.75" customHeight="1">
      <c r="A164" s="110">
        <f t="shared" si="2"/>
        <v>152</v>
      </c>
      <c r="B164" s="117">
        <v>9280</v>
      </c>
      <c r="C164" s="118" t="s">
        <v>207</v>
      </c>
      <c r="D164" s="136">
        <f>'C.2.2 B 09'!P106</f>
        <v>0</v>
      </c>
    </row>
    <row r="165" spans="1:7" ht="15.75" customHeight="1">
      <c r="A165" s="110">
        <f t="shared" si="2"/>
        <v>153</v>
      </c>
      <c r="B165" s="149">
        <v>930.2</v>
      </c>
      <c r="C165" s="118" t="s">
        <v>208</v>
      </c>
      <c r="D165" s="136">
        <f>'C.2.2 B 09'!P107</f>
        <v>74161.595295544976</v>
      </c>
    </row>
    <row r="166" spans="1:7" ht="15.75" customHeight="1">
      <c r="A166" s="110">
        <f t="shared" si="2"/>
        <v>154</v>
      </c>
      <c r="B166" s="117">
        <v>9310</v>
      </c>
      <c r="C166" s="118" t="s">
        <v>209</v>
      </c>
      <c r="D166" s="138">
        <f>'C.2.2 B 09'!P108</f>
        <v>14287.303404838631</v>
      </c>
    </row>
    <row r="167" spans="1:7" ht="15.75" customHeight="1">
      <c r="A167" s="110">
        <f t="shared" si="2"/>
        <v>155</v>
      </c>
      <c r="B167" s="110"/>
      <c r="C167" s="137" t="s">
        <v>210</v>
      </c>
      <c r="D167" s="119">
        <f>SUM(D156:D166)</f>
        <v>15884123.621101992</v>
      </c>
    </row>
    <row r="168" spans="1:7" ht="15.75" customHeight="1">
      <c r="A168" s="110">
        <f t="shared" si="2"/>
        <v>156</v>
      </c>
      <c r="B168" s="110"/>
      <c r="C168" s="114"/>
      <c r="D168" s="126"/>
    </row>
    <row r="169" spans="1:7" ht="15.75" customHeight="1">
      <c r="A169" s="110">
        <f t="shared" si="2"/>
        <v>157</v>
      </c>
      <c r="B169" s="110"/>
      <c r="C169" s="133" t="s">
        <v>211</v>
      </c>
      <c r="D169" s="126"/>
    </row>
    <row r="170" spans="1:7" ht="15.75" customHeight="1">
      <c r="A170" s="110">
        <f t="shared" si="2"/>
        <v>158</v>
      </c>
      <c r="B170" s="117">
        <v>9320</v>
      </c>
      <c r="C170" s="118" t="s">
        <v>212</v>
      </c>
      <c r="D170" s="138">
        <f>'C.2.2 B 09'!P109</f>
        <v>0</v>
      </c>
    </row>
    <row r="171" spans="1:7" ht="15.75" customHeight="1">
      <c r="A171" s="110">
        <f t="shared" si="2"/>
        <v>159</v>
      </c>
      <c r="B171" s="110"/>
      <c r="C171" s="137" t="s">
        <v>213</v>
      </c>
      <c r="D171" s="150">
        <f>SUM(D170:D170)</f>
        <v>0</v>
      </c>
    </row>
    <row r="172" spans="1:7" ht="15.75" customHeight="1">
      <c r="A172" s="110">
        <f t="shared" si="2"/>
        <v>160</v>
      </c>
      <c r="B172" s="125"/>
      <c r="D172" s="134"/>
    </row>
    <row r="173" spans="1:7" ht="15.75" customHeight="1">
      <c r="A173" s="110">
        <f t="shared" si="2"/>
        <v>161</v>
      </c>
      <c r="B173" s="110"/>
      <c r="C173" s="115" t="s">
        <v>214</v>
      </c>
      <c r="D173" s="151">
        <f>+D38+D42+D54+D64+D74+D82+D104+D119+D132+D139+D146+D153+D167+D171</f>
        <v>92507905.76561141</v>
      </c>
      <c r="G173" s="116"/>
    </row>
    <row r="174" spans="1:7" ht="15.75" customHeight="1">
      <c r="A174" s="110">
        <f t="shared" si="2"/>
        <v>162</v>
      </c>
      <c r="B174" s="125"/>
      <c r="D174" s="134"/>
    </row>
    <row r="175" spans="1:7" ht="15.75" customHeight="1">
      <c r="A175" s="110">
        <f t="shared" si="2"/>
        <v>163</v>
      </c>
      <c r="B175" s="110" t="s">
        <v>215</v>
      </c>
      <c r="C175" s="111" t="s">
        <v>216</v>
      </c>
      <c r="D175" s="150">
        <f>SUM('C.2.2 B 09'!P14:P15)</f>
        <v>18899315.652483873</v>
      </c>
    </row>
    <row r="176" spans="1:7" ht="15.75" customHeight="1">
      <c r="A176" s="110">
        <f t="shared" si="2"/>
        <v>164</v>
      </c>
      <c r="B176" s="117">
        <v>4081</v>
      </c>
      <c r="C176" s="111" t="s">
        <v>217</v>
      </c>
      <c r="D176" s="136">
        <f>'C.2.2 B 09'!P16</f>
        <v>4830375.4565365165</v>
      </c>
    </row>
    <row r="177" spans="1:7" ht="15.75" customHeight="1">
      <c r="A177" s="110">
        <f t="shared" si="2"/>
        <v>165</v>
      </c>
      <c r="B177" s="117" t="s">
        <v>218</v>
      </c>
      <c r="C177" s="111" t="s">
        <v>219</v>
      </c>
      <c r="D177" s="124">
        <v>12513986.649966933</v>
      </c>
      <c r="F177" s="129"/>
      <c r="G177" s="129"/>
    </row>
    <row r="178" spans="1:7" ht="15.75" customHeight="1">
      <c r="A178" s="110">
        <f t="shared" si="2"/>
        <v>166</v>
      </c>
      <c r="B178" s="125"/>
      <c r="D178" s="134"/>
    </row>
    <row r="179" spans="1:7" ht="15.75" customHeight="1">
      <c r="A179" s="110">
        <f t="shared" si="2"/>
        <v>167</v>
      </c>
      <c r="B179" s="152"/>
      <c r="C179" s="111" t="s">
        <v>220</v>
      </c>
      <c r="D179" s="138">
        <f>+D173+SUM(D175:D177)</f>
        <v>128751583.52459873</v>
      </c>
    </row>
    <row r="180" spans="1:7" ht="15.75" customHeight="1">
      <c r="A180" s="110">
        <f t="shared" si="2"/>
        <v>168</v>
      </c>
      <c r="B180" s="153"/>
      <c r="D180" s="134"/>
    </row>
    <row r="181" spans="1:7" ht="15.75" customHeight="1" thickBot="1">
      <c r="A181" s="110">
        <f t="shared" si="2"/>
        <v>169</v>
      </c>
      <c r="B181" s="152"/>
      <c r="C181" s="111" t="s">
        <v>221</v>
      </c>
      <c r="D181" s="154">
        <f>D32-D179</f>
        <v>27961663.356357083</v>
      </c>
    </row>
    <row r="182" spans="1:7" ht="15.75" customHeight="1" thickTop="1">
      <c r="B182" s="155"/>
    </row>
    <row r="183" spans="1:7" ht="15.75" customHeight="1">
      <c r="A183" s="114"/>
      <c r="B183" s="155"/>
    </row>
    <row r="184" spans="1:7" ht="15.75" customHeight="1">
      <c r="B184" s="155"/>
    </row>
    <row r="185" spans="1:7" ht="15.75" customHeight="1">
      <c r="B185" s="155"/>
    </row>
    <row r="186" spans="1:7" ht="15.75" customHeight="1">
      <c r="B186" s="155"/>
    </row>
    <row r="187" spans="1:7" ht="15.75" customHeight="1">
      <c r="B187" s="155"/>
    </row>
    <row r="188" spans="1:7" ht="15.75" customHeight="1">
      <c r="B188" s="155"/>
    </row>
    <row r="189" spans="1:7" ht="15.75" customHeight="1">
      <c r="B189" s="155"/>
    </row>
    <row r="190" spans="1:7" ht="15.75" customHeight="1">
      <c r="B190" s="155"/>
    </row>
    <row r="191" spans="1:7" ht="15.75" customHeight="1">
      <c r="B191" s="153"/>
    </row>
    <row r="192" spans="1:7" ht="15.75" customHeight="1">
      <c r="B192" s="153"/>
    </row>
    <row r="193" spans="2:2" ht="15.75" customHeight="1">
      <c r="B193" s="153"/>
    </row>
    <row r="194" spans="2:2" ht="15.75" customHeight="1">
      <c r="B194" s="153"/>
    </row>
    <row r="195" spans="2:2" ht="15.75" customHeight="1">
      <c r="B195" s="153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94" fitToHeight="15" orientation="portrait" verticalDpi="300" r:id="rId1"/>
  <headerFooter alignWithMargins="0">
    <oddHeader>&amp;R&amp;9CASE NO. 2017-00349
FR 16(8)(c)
ATTACHMENT 1</oddHeader>
    <oddFooter>&amp;RSchedule &amp;A
Page &amp;P of &amp;N</oddFooter>
  </headerFooter>
  <rowBreaks count="1" manualBreakCount="1">
    <brk id="11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zoomScale="70" zoomScaleNormal="80" zoomScaleSheetLayoutView="70" workbookViewId="0">
      <pane ySplit="11" topLeftCell="A15" activePane="bottomLeft" state="frozen"/>
      <selection activeCell="E14" sqref="E14"/>
      <selection pane="bottomLeft" sqref="A1:D1"/>
    </sheetView>
  </sheetViews>
  <sheetFormatPr defaultColWidth="8.44140625" defaultRowHeight="15"/>
  <cols>
    <col min="1" max="1" width="4.77734375" style="6" customWidth="1"/>
    <col min="2" max="2" width="11.88671875" style="6" customWidth="1"/>
    <col min="3" max="3" width="45.77734375" style="6" customWidth="1"/>
    <col min="4" max="4" width="13.109375" style="6" customWidth="1"/>
    <col min="5" max="5" width="3.77734375" style="6" customWidth="1"/>
    <col min="6" max="6" width="14" style="6" customWidth="1"/>
    <col min="7" max="7" width="11.109375" style="6" customWidth="1"/>
    <col min="8" max="8" width="10.88671875" style="6" customWidth="1"/>
    <col min="9" max="16384" width="8.44140625" style="6"/>
  </cols>
  <sheetData>
    <row r="1" spans="1:8">
      <c r="A1" s="307" t="s">
        <v>384</v>
      </c>
      <c r="B1" s="307"/>
      <c r="C1" s="307"/>
      <c r="D1" s="307"/>
      <c r="E1" s="156"/>
    </row>
    <row r="2" spans="1:8">
      <c r="A2" s="307" t="s">
        <v>385</v>
      </c>
      <c r="B2" s="307"/>
      <c r="C2" s="307"/>
      <c r="D2" s="307"/>
      <c r="E2" s="156"/>
    </row>
    <row r="3" spans="1:8">
      <c r="A3" s="307" t="s">
        <v>222</v>
      </c>
      <c r="B3" s="307"/>
      <c r="C3" s="307"/>
      <c r="D3" s="307"/>
      <c r="E3" s="156"/>
    </row>
    <row r="4" spans="1:8">
      <c r="A4" s="307" t="s">
        <v>387</v>
      </c>
      <c r="B4" s="307"/>
      <c r="C4" s="307"/>
      <c r="D4" s="307"/>
      <c r="E4" s="156"/>
    </row>
    <row r="5" spans="1:8">
      <c r="A5" s="157"/>
      <c r="B5" s="157"/>
      <c r="C5" s="158"/>
      <c r="D5" s="158"/>
      <c r="E5" s="158"/>
    </row>
    <row r="6" spans="1:8">
      <c r="A6" s="11" t="s">
        <v>223</v>
      </c>
      <c r="D6" s="105" t="s">
        <v>75</v>
      </c>
      <c r="E6" s="105"/>
    </row>
    <row r="7" spans="1:8">
      <c r="A7" s="11" t="str">
        <f>'C.2.1 B'!A7</f>
        <v>Type of Filing:___X____Original________Updated ________Revised</v>
      </c>
      <c r="D7" s="106" t="s">
        <v>224</v>
      </c>
      <c r="E7" s="106"/>
    </row>
    <row r="8" spans="1:8">
      <c r="A8" s="14" t="s">
        <v>18</v>
      </c>
      <c r="B8" s="15"/>
      <c r="C8" s="15"/>
      <c r="D8" s="159" t="str">
        <f>C.1!J9</f>
        <v>Witness: Waller, Martin</v>
      </c>
      <c r="E8" s="160"/>
    </row>
    <row r="9" spans="1:8">
      <c r="D9" s="63"/>
      <c r="E9" s="63"/>
    </row>
    <row r="10" spans="1:8">
      <c r="A10" s="57" t="s">
        <v>21</v>
      </c>
      <c r="B10" s="63" t="s">
        <v>77</v>
      </c>
      <c r="C10" s="57" t="s">
        <v>77</v>
      </c>
      <c r="D10" s="63" t="s">
        <v>78</v>
      </c>
      <c r="E10" s="63"/>
    </row>
    <row r="11" spans="1:8">
      <c r="A11" s="60" t="s">
        <v>24</v>
      </c>
      <c r="B11" s="64" t="s">
        <v>79</v>
      </c>
      <c r="C11" s="60" t="s">
        <v>80</v>
      </c>
      <c r="D11" s="64" t="s">
        <v>81</v>
      </c>
      <c r="E11" s="161"/>
    </row>
    <row r="12" spans="1:8">
      <c r="D12" s="63" t="s">
        <v>82</v>
      </c>
      <c r="E12" s="63"/>
    </row>
    <row r="13" spans="1:8">
      <c r="A13" s="63">
        <v>1</v>
      </c>
      <c r="B13" s="56"/>
      <c r="C13" s="162" t="s">
        <v>83</v>
      </c>
    </row>
    <row r="14" spans="1:8">
      <c r="A14" s="63">
        <f>A13+1</f>
        <v>2</v>
      </c>
      <c r="B14" s="63"/>
      <c r="C14" s="162" t="s">
        <v>84</v>
      </c>
      <c r="G14" s="99"/>
      <c r="H14" s="163"/>
    </row>
    <row r="15" spans="1:8">
      <c r="A15" s="63">
        <f t="shared" ref="A15:A78" si="0">A14+1</f>
        <v>3</v>
      </c>
      <c r="B15" s="164">
        <v>4800</v>
      </c>
      <c r="C15" s="165" t="s">
        <v>85</v>
      </c>
      <c r="D15" s="166">
        <f>-'C.2.2-F 09'!P17</f>
        <v>98377919.415192276</v>
      </c>
      <c r="E15" s="166"/>
      <c r="G15" s="99"/>
      <c r="H15" s="99"/>
    </row>
    <row r="16" spans="1:8">
      <c r="A16" s="63">
        <f t="shared" si="0"/>
        <v>4</v>
      </c>
      <c r="B16" s="164">
        <v>4811</v>
      </c>
      <c r="C16" s="165" t="s">
        <v>87</v>
      </c>
      <c r="D16" s="167">
        <f>-'C.2.2-F 09'!P19</f>
        <v>40637063.73720403</v>
      </c>
      <c r="E16" s="167"/>
      <c r="G16" s="99"/>
      <c r="H16" s="99"/>
    </row>
    <row r="17" spans="1:8">
      <c r="A17" s="63">
        <f t="shared" si="0"/>
        <v>5</v>
      </c>
      <c r="B17" s="164">
        <v>4812</v>
      </c>
      <c r="C17" s="165" t="s">
        <v>88</v>
      </c>
      <c r="D17" s="167">
        <f>-'C.2.2-F 09'!P20</f>
        <v>5286755.3393530753</v>
      </c>
      <c r="E17" s="167"/>
      <c r="F17" s="79"/>
      <c r="G17" s="168"/>
      <c r="H17" s="99"/>
    </row>
    <row r="18" spans="1:8">
      <c r="A18" s="63">
        <f t="shared" si="0"/>
        <v>6</v>
      </c>
      <c r="B18" s="164">
        <v>4820</v>
      </c>
      <c r="C18" s="165" t="s">
        <v>91</v>
      </c>
      <c r="D18" s="169">
        <f>-'C.2.2-F 09'!P23</f>
        <v>6847372.3870250378</v>
      </c>
      <c r="E18" s="167"/>
      <c r="F18" s="79"/>
      <c r="G18" s="168"/>
      <c r="H18" s="99"/>
    </row>
    <row r="19" spans="1:8">
      <c r="A19" s="63">
        <f t="shared" si="0"/>
        <v>7</v>
      </c>
      <c r="B19" s="63"/>
      <c r="C19" s="57" t="s">
        <v>93</v>
      </c>
      <c r="D19" s="25">
        <f>SUM(D15:D18)</f>
        <v>151149110.87877443</v>
      </c>
      <c r="E19" s="25"/>
      <c r="F19" s="79"/>
      <c r="G19" s="168"/>
      <c r="H19" s="99"/>
    </row>
    <row r="20" spans="1:8">
      <c r="A20" s="63">
        <f t="shared" si="0"/>
        <v>8</v>
      </c>
      <c r="B20" s="4"/>
      <c r="D20" s="5"/>
      <c r="E20" s="5"/>
      <c r="F20" s="79"/>
      <c r="G20" s="168"/>
      <c r="H20" s="99"/>
    </row>
    <row r="21" spans="1:8">
      <c r="A21" s="63">
        <f t="shared" si="0"/>
        <v>9</v>
      </c>
      <c r="B21" s="4"/>
      <c r="C21" s="162" t="s">
        <v>94</v>
      </c>
      <c r="D21" s="73"/>
      <c r="E21" s="73"/>
      <c r="F21" s="79"/>
      <c r="G21" s="168"/>
      <c r="H21" s="99"/>
    </row>
    <row r="22" spans="1:8">
      <c r="A22" s="63">
        <f t="shared" si="0"/>
        <v>10</v>
      </c>
      <c r="B22" s="164">
        <v>4870</v>
      </c>
      <c r="C22" s="165" t="s">
        <v>95</v>
      </c>
      <c r="D22" s="166">
        <f>-'C.2.2-F 09'!P25</f>
        <v>1297964.1796976668</v>
      </c>
      <c r="E22" s="166"/>
      <c r="F22" s="79"/>
      <c r="G22" s="168"/>
      <c r="H22" s="99"/>
    </row>
    <row r="23" spans="1:8">
      <c r="A23" s="63">
        <f t="shared" si="0"/>
        <v>11</v>
      </c>
      <c r="B23" s="164">
        <v>4880</v>
      </c>
      <c r="C23" s="165" t="s">
        <v>96</v>
      </c>
      <c r="D23" s="167">
        <f>-'C.2.2-F 09'!P26</f>
        <v>806054</v>
      </c>
      <c r="E23" s="167"/>
      <c r="F23" s="79"/>
      <c r="G23" s="168"/>
      <c r="H23" s="99"/>
    </row>
    <row r="24" spans="1:8">
      <c r="A24" s="63">
        <f t="shared" si="0"/>
        <v>12</v>
      </c>
      <c r="B24" s="170" t="s">
        <v>225</v>
      </c>
      <c r="C24" s="171" t="s">
        <v>97</v>
      </c>
      <c r="D24" s="167">
        <f>-'C.2.2-F 09'!P27</f>
        <v>15202087.192665644</v>
      </c>
      <c r="E24" s="167"/>
      <c r="F24" s="79"/>
      <c r="G24" s="79"/>
      <c r="H24" s="99"/>
    </row>
    <row r="25" spans="1:8">
      <c r="A25" s="63">
        <f t="shared" si="0"/>
        <v>13</v>
      </c>
      <c r="B25" s="164">
        <v>4950</v>
      </c>
      <c r="C25" s="165" t="s">
        <v>98</v>
      </c>
      <c r="D25" s="167">
        <f>-'C.2.2-F 09'!P28</f>
        <v>2274059.6602829527</v>
      </c>
      <c r="E25" s="167"/>
      <c r="F25" s="79"/>
      <c r="G25" s="79"/>
      <c r="H25" s="99"/>
    </row>
    <row r="26" spans="1:8">
      <c r="A26" s="63">
        <f t="shared" si="0"/>
        <v>14</v>
      </c>
      <c r="B26" s="4"/>
      <c r="C26" s="57" t="s">
        <v>99</v>
      </c>
      <c r="D26" s="172">
        <f>SUM(D22:D25)</f>
        <v>19580165.032646261</v>
      </c>
      <c r="E26" s="25"/>
      <c r="F26" s="79"/>
      <c r="G26" s="168"/>
      <c r="H26" s="99"/>
    </row>
    <row r="27" spans="1:8">
      <c r="A27" s="63">
        <f t="shared" si="0"/>
        <v>15</v>
      </c>
      <c r="B27" s="4"/>
      <c r="D27" s="73"/>
      <c r="E27" s="73"/>
      <c r="F27" s="79"/>
      <c r="G27" s="79"/>
      <c r="H27" s="99"/>
    </row>
    <row r="28" spans="1:8">
      <c r="A28" s="63">
        <f t="shared" si="0"/>
        <v>16</v>
      </c>
      <c r="B28" s="63"/>
      <c r="C28" s="57" t="s">
        <v>100</v>
      </c>
      <c r="D28" s="173">
        <f>D26+D19</f>
        <v>170729275.9114207</v>
      </c>
      <c r="E28" s="173"/>
      <c r="F28" s="79"/>
      <c r="G28" s="168"/>
      <c r="H28" s="99"/>
    </row>
    <row r="29" spans="1:8">
      <c r="A29" s="63">
        <f t="shared" si="0"/>
        <v>17</v>
      </c>
      <c r="B29" s="4"/>
      <c r="D29" s="73"/>
      <c r="E29" s="73"/>
    </row>
    <row r="30" spans="1:8">
      <c r="A30" s="63">
        <f t="shared" si="0"/>
        <v>18</v>
      </c>
      <c r="B30" s="4"/>
      <c r="C30" s="162" t="s">
        <v>101</v>
      </c>
      <c r="D30" s="73"/>
      <c r="E30" s="73"/>
    </row>
    <row r="31" spans="1:8">
      <c r="A31" s="63">
        <f t="shared" si="0"/>
        <v>19</v>
      </c>
      <c r="B31" s="4"/>
      <c r="C31" s="174" t="s">
        <v>102</v>
      </c>
      <c r="D31" s="5"/>
      <c r="E31" s="5"/>
    </row>
    <row r="32" spans="1:8">
      <c r="A32" s="63">
        <f t="shared" si="0"/>
        <v>20</v>
      </c>
      <c r="B32" s="175">
        <v>7560</v>
      </c>
      <c r="C32" s="165" t="s">
        <v>103</v>
      </c>
      <c r="D32" s="167">
        <f>'C.2.2-F 09'!P29</f>
        <v>0</v>
      </c>
      <c r="E32" s="167"/>
    </row>
    <row r="33" spans="1:10">
      <c r="A33" s="63">
        <f t="shared" si="0"/>
        <v>21</v>
      </c>
      <c r="B33" s="135">
        <v>7590</v>
      </c>
      <c r="C33" s="118" t="s">
        <v>104</v>
      </c>
      <c r="D33" s="79">
        <f>'C.2.2-F 09'!P30</f>
        <v>0</v>
      </c>
      <c r="E33" s="167"/>
    </row>
    <row r="34" spans="1:10">
      <c r="A34" s="63">
        <f t="shared" si="0"/>
        <v>22</v>
      </c>
      <c r="B34" s="4"/>
      <c r="C34" s="80" t="s">
        <v>105</v>
      </c>
      <c r="D34" s="172">
        <f>SUM(D32:D33)</f>
        <v>0</v>
      </c>
      <c r="E34" s="25"/>
      <c r="F34" s="79"/>
      <c r="G34" s="168"/>
    </row>
    <row r="35" spans="1:10">
      <c r="A35" s="63">
        <f t="shared" si="0"/>
        <v>23</v>
      </c>
      <c r="B35" s="4"/>
      <c r="C35" s="11"/>
      <c r="D35" s="38"/>
      <c r="E35" s="38"/>
    </row>
    <row r="36" spans="1:10">
      <c r="A36" s="63">
        <f t="shared" si="0"/>
        <v>24</v>
      </c>
      <c r="B36" s="4"/>
      <c r="C36" s="174" t="s">
        <v>106</v>
      </c>
      <c r="D36" s="38"/>
      <c r="E36" s="38"/>
    </row>
    <row r="37" spans="1:10">
      <c r="A37" s="63">
        <f t="shared" si="0"/>
        <v>25</v>
      </c>
      <c r="B37" s="175">
        <v>7610</v>
      </c>
      <c r="C37" s="165" t="s">
        <v>226</v>
      </c>
      <c r="D37" s="176">
        <v>0</v>
      </c>
      <c r="E37" s="166"/>
    </row>
    <row r="38" spans="1:10">
      <c r="A38" s="63">
        <f t="shared" si="0"/>
        <v>26</v>
      </c>
      <c r="B38" s="4"/>
      <c r="C38" s="11"/>
      <c r="D38" s="25">
        <f>SUM(D37)</f>
        <v>0</v>
      </c>
      <c r="E38" s="25"/>
    </row>
    <row r="39" spans="1:10">
      <c r="A39" s="63">
        <f t="shared" si="0"/>
        <v>27</v>
      </c>
      <c r="B39" s="4"/>
      <c r="C39" s="174" t="s">
        <v>108</v>
      </c>
      <c r="D39" s="5"/>
      <c r="E39" s="5"/>
    </row>
    <row r="40" spans="1:10">
      <c r="A40" s="63">
        <f t="shared" si="0"/>
        <v>28</v>
      </c>
      <c r="B40" s="175">
        <v>8140</v>
      </c>
      <c r="C40" s="165" t="s">
        <v>109</v>
      </c>
      <c r="D40" s="166">
        <f>'C.2.2-F 09'!P46</f>
        <v>0</v>
      </c>
      <c r="E40" s="166"/>
      <c r="J40" s="177"/>
    </row>
    <row r="41" spans="1:10">
      <c r="A41" s="63">
        <f t="shared" si="0"/>
        <v>29</v>
      </c>
      <c r="B41" s="175">
        <v>8150</v>
      </c>
      <c r="C41" s="165" t="s">
        <v>110</v>
      </c>
      <c r="D41" s="167">
        <v>0</v>
      </c>
      <c r="E41" s="178"/>
    </row>
    <row r="42" spans="1:10">
      <c r="A42" s="63">
        <f t="shared" si="0"/>
        <v>30</v>
      </c>
      <c r="B42" s="175">
        <v>8160</v>
      </c>
      <c r="C42" s="165" t="s">
        <v>111</v>
      </c>
      <c r="D42" s="167">
        <f>'C.2.2-F 09'!P47</f>
        <v>135949.79443939595</v>
      </c>
      <c r="E42" s="178"/>
      <c r="J42" s="177"/>
    </row>
    <row r="43" spans="1:10">
      <c r="A43" s="63">
        <f t="shared" si="0"/>
        <v>31</v>
      </c>
      <c r="B43" s="175">
        <v>8170</v>
      </c>
      <c r="C43" s="165" t="s">
        <v>112</v>
      </c>
      <c r="D43" s="167">
        <f>'C.2.2-F 09'!P48</f>
        <v>35014.298425527413</v>
      </c>
      <c r="E43" s="178"/>
      <c r="J43" s="177"/>
    </row>
    <row r="44" spans="1:10">
      <c r="A44" s="63">
        <f t="shared" si="0"/>
        <v>32</v>
      </c>
      <c r="B44" s="175">
        <v>8180</v>
      </c>
      <c r="C44" s="165" t="s">
        <v>113</v>
      </c>
      <c r="D44" s="167">
        <f>'C.2.2-F 09'!P49</f>
        <v>35632.558627513739</v>
      </c>
      <c r="E44" s="178"/>
      <c r="J44" s="177"/>
    </row>
    <row r="45" spans="1:10">
      <c r="A45" s="63">
        <f t="shared" si="0"/>
        <v>33</v>
      </c>
      <c r="B45" s="179">
        <v>8190</v>
      </c>
      <c r="C45" s="180" t="s">
        <v>114</v>
      </c>
      <c r="D45" s="167">
        <f>'C.2.2-F 09'!P50</f>
        <v>1003.4600275190052</v>
      </c>
      <c r="E45" s="178"/>
      <c r="J45" s="177"/>
    </row>
    <row r="46" spans="1:10">
      <c r="A46" s="63">
        <f t="shared" si="0"/>
        <v>34</v>
      </c>
      <c r="B46" s="179">
        <v>8200</v>
      </c>
      <c r="C46" s="180" t="s">
        <v>115</v>
      </c>
      <c r="D46" s="167">
        <f>'C.2.2-F 09'!P51</f>
        <v>3485.0764657941422</v>
      </c>
      <c r="E46" s="178"/>
      <c r="J46" s="177"/>
    </row>
    <row r="47" spans="1:10">
      <c r="A47" s="63">
        <f t="shared" si="0"/>
        <v>35</v>
      </c>
      <c r="B47" s="179">
        <v>8210</v>
      </c>
      <c r="C47" s="180" t="s">
        <v>116</v>
      </c>
      <c r="D47" s="167">
        <f>'C.2.2-F 09'!P52</f>
        <v>25974.027536825721</v>
      </c>
      <c r="E47" s="178"/>
      <c r="J47" s="177"/>
    </row>
    <row r="48" spans="1:10">
      <c r="A48" s="63">
        <f t="shared" si="0"/>
        <v>36</v>
      </c>
      <c r="B48" s="179">
        <v>8240</v>
      </c>
      <c r="C48" s="180" t="s">
        <v>117</v>
      </c>
      <c r="D48" s="167">
        <f>'C.2.2-F 09'!P53</f>
        <v>0</v>
      </c>
      <c r="E48" s="178"/>
      <c r="J48" s="177"/>
    </row>
    <row r="49" spans="1:10">
      <c r="A49" s="63">
        <f t="shared" si="0"/>
        <v>37</v>
      </c>
      <c r="B49" s="179">
        <v>8250</v>
      </c>
      <c r="C49" s="180" t="s">
        <v>118</v>
      </c>
      <c r="D49" s="167">
        <f>'C.2.2-F 09'!P54</f>
        <v>9388.0767464601686</v>
      </c>
      <c r="E49" s="178"/>
      <c r="J49" s="177"/>
    </row>
    <row r="50" spans="1:10">
      <c r="A50" s="63">
        <f t="shared" si="0"/>
        <v>38</v>
      </c>
      <c r="B50" s="4"/>
      <c r="C50" s="80" t="s">
        <v>119</v>
      </c>
      <c r="D50" s="172">
        <f>SUM(D40:D49)</f>
        <v>246447.29226903612</v>
      </c>
      <c r="E50" s="25"/>
      <c r="F50" s="79"/>
      <c r="G50" s="168"/>
    </row>
    <row r="51" spans="1:10">
      <c r="A51" s="63">
        <f t="shared" si="0"/>
        <v>39</v>
      </c>
      <c r="B51" s="4"/>
      <c r="C51" s="11"/>
      <c r="D51" s="32"/>
      <c r="E51" s="32"/>
    </row>
    <row r="52" spans="1:10">
      <c r="A52" s="63">
        <f t="shared" si="0"/>
        <v>40</v>
      </c>
      <c r="B52" s="4"/>
      <c r="C52" s="174" t="s">
        <v>120</v>
      </c>
      <c r="D52" s="32"/>
      <c r="E52" s="32"/>
    </row>
    <row r="53" spans="1:10">
      <c r="A53" s="63">
        <f t="shared" si="0"/>
        <v>41</v>
      </c>
      <c r="B53" s="179">
        <v>8310</v>
      </c>
      <c r="C53" s="180" t="s">
        <v>121</v>
      </c>
      <c r="D53" s="166">
        <f>'C.2.2-F 09'!P55</f>
        <v>16248.299941812395</v>
      </c>
      <c r="E53" s="166"/>
      <c r="J53" s="177"/>
    </row>
    <row r="54" spans="1:10">
      <c r="A54" s="63">
        <f t="shared" si="0"/>
        <v>42</v>
      </c>
      <c r="B54" s="179">
        <v>8320</v>
      </c>
      <c r="C54" s="180" t="s">
        <v>122</v>
      </c>
      <c r="D54" s="167">
        <v>0</v>
      </c>
      <c r="E54" s="178"/>
    </row>
    <row r="55" spans="1:10">
      <c r="A55" s="63">
        <f t="shared" si="0"/>
        <v>43</v>
      </c>
      <c r="B55" s="179">
        <v>8340</v>
      </c>
      <c r="C55" s="180" t="s">
        <v>123</v>
      </c>
      <c r="D55" s="167">
        <f>'C.2.2-F 09'!P56</f>
        <v>11889.055414355553</v>
      </c>
      <c r="E55" s="178"/>
      <c r="J55" s="177"/>
    </row>
    <row r="56" spans="1:10">
      <c r="A56" s="63">
        <f t="shared" si="0"/>
        <v>44</v>
      </c>
      <c r="B56" s="179">
        <v>8350</v>
      </c>
      <c r="C56" s="180" t="s">
        <v>124</v>
      </c>
      <c r="D56" s="167">
        <f>'C.2.2-F 09'!P57</f>
        <v>0</v>
      </c>
      <c r="E56" s="178"/>
      <c r="J56" s="177"/>
    </row>
    <row r="57" spans="1:10">
      <c r="A57" s="63">
        <f t="shared" si="0"/>
        <v>45</v>
      </c>
      <c r="B57" s="179">
        <v>8360</v>
      </c>
      <c r="C57" s="180" t="s">
        <v>125</v>
      </c>
      <c r="D57" s="167">
        <f>'C.2.2-F 09'!P58</f>
        <v>0</v>
      </c>
      <c r="E57" s="178"/>
      <c r="J57" s="177"/>
    </row>
    <row r="58" spans="1:10">
      <c r="A58" s="63">
        <f t="shared" si="0"/>
        <v>46</v>
      </c>
      <c r="B58" s="179">
        <v>8370</v>
      </c>
      <c r="C58" s="180" t="s">
        <v>126</v>
      </c>
      <c r="D58" s="167">
        <f>'C.2.2-F 09'!P59</f>
        <v>0</v>
      </c>
      <c r="E58" s="178"/>
      <c r="J58" s="177"/>
    </row>
    <row r="59" spans="1:10">
      <c r="A59" s="63">
        <f t="shared" si="0"/>
        <v>47</v>
      </c>
      <c r="B59" s="181" t="s">
        <v>227</v>
      </c>
      <c r="C59" s="180" t="s">
        <v>128</v>
      </c>
      <c r="D59" s="167">
        <f>'C.2.2-F 09'!P60</f>
        <v>130396.67801244168</v>
      </c>
      <c r="E59" s="178"/>
    </row>
    <row r="60" spans="1:10">
      <c r="A60" s="63">
        <f t="shared" si="0"/>
        <v>48</v>
      </c>
      <c r="B60" s="4"/>
      <c r="C60" s="80" t="s">
        <v>129</v>
      </c>
      <c r="D60" s="172">
        <f>SUM(D53:D59)</f>
        <v>158534.03336860964</v>
      </c>
      <c r="E60" s="166"/>
      <c r="F60" s="79"/>
      <c r="G60" s="168"/>
    </row>
    <row r="61" spans="1:10">
      <c r="A61" s="63">
        <f t="shared" si="0"/>
        <v>49</v>
      </c>
      <c r="B61" s="4"/>
      <c r="C61" s="11"/>
      <c r="D61" s="32"/>
      <c r="E61" s="32"/>
    </row>
    <row r="62" spans="1:10">
      <c r="A62" s="63">
        <f t="shared" si="0"/>
        <v>50</v>
      </c>
      <c r="B62" s="4"/>
      <c r="C62" s="174" t="s">
        <v>130</v>
      </c>
      <c r="D62" s="32"/>
      <c r="E62" s="32"/>
    </row>
    <row r="63" spans="1:10">
      <c r="A63" s="63">
        <f t="shared" si="0"/>
        <v>51</v>
      </c>
      <c r="B63" s="179">
        <v>8500</v>
      </c>
      <c r="C63" s="180" t="s">
        <v>109</v>
      </c>
      <c r="D63" s="166">
        <v>0</v>
      </c>
      <c r="E63" s="166"/>
      <c r="J63" s="177"/>
    </row>
    <row r="64" spans="1:10">
      <c r="A64" s="63">
        <f t="shared" si="0"/>
        <v>52</v>
      </c>
      <c r="B64" s="179">
        <v>8520</v>
      </c>
      <c r="C64" s="141" t="s">
        <v>131</v>
      </c>
      <c r="D64" s="167">
        <f>'C.2.2-F 09'!P61</f>
        <v>0</v>
      </c>
      <c r="E64" s="166"/>
      <c r="J64" s="177"/>
    </row>
    <row r="65" spans="1:10">
      <c r="A65" s="63">
        <f t="shared" si="0"/>
        <v>53</v>
      </c>
      <c r="B65" s="179">
        <v>8550</v>
      </c>
      <c r="C65" s="141" t="s">
        <v>228</v>
      </c>
      <c r="D65" s="167">
        <f>'C.2.2-F 09'!P62</f>
        <v>296.79362192174943</v>
      </c>
      <c r="E65" s="166"/>
      <c r="J65" s="177"/>
    </row>
    <row r="66" spans="1:10">
      <c r="A66" s="63">
        <f t="shared" si="0"/>
        <v>54</v>
      </c>
      <c r="B66" s="179">
        <v>8560</v>
      </c>
      <c r="C66" s="180" t="s">
        <v>133</v>
      </c>
      <c r="D66" s="167">
        <f>'C.2.2-F 09'!P63</f>
        <v>255790.29231455276</v>
      </c>
      <c r="E66" s="178"/>
      <c r="J66" s="177"/>
    </row>
    <row r="67" spans="1:10">
      <c r="A67" s="63">
        <f t="shared" si="0"/>
        <v>55</v>
      </c>
      <c r="B67" s="179">
        <v>8570</v>
      </c>
      <c r="C67" s="180" t="s">
        <v>134</v>
      </c>
      <c r="D67" s="167">
        <f>'C.2.2-F 09'!P64</f>
        <v>11082.066441278794</v>
      </c>
      <c r="E67" s="178"/>
      <c r="J67" s="177"/>
    </row>
    <row r="68" spans="1:10">
      <c r="A68" s="63">
        <f t="shared" si="0"/>
        <v>56</v>
      </c>
      <c r="B68" s="179">
        <v>8590</v>
      </c>
      <c r="C68" s="180" t="s">
        <v>135</v>
      </c>
      <c r="D68" s="178">
        <v>0</v>
      </c>
      <c r="E68" s="178"/>
    </row>
    <row r="69" spans="1:10">
      <c r="A69" s="63">
        <f t="shared" si="0"/>
        <v>57</v>
      </c>
      <c r="B69" s="179">
        <v>8600</v>
      </c>
      <c r="C69" s="180" t="s">
        <v>136</v>
      </c>
      <c r="D69" s="182">
        <v>0</v>
      </c>
      <c r="E69" s="178"/>
    </row>
    <row r="70" spans="1:10">
      <c r="A70" s="63">
        <f t="shared" si="0"/>
        <v>58</v>
      </c>
      <c r="B70" s="4"/>
      <c r="C70" s="80" t="s">
        <v>137</v>
      </c>
      <c r="D70" s="25">
        <f>SUM(D63:D69)</f>
        <v>267169.15237775329</v>
      </c>
      <c r="E70" s="25"/>
      <c r="F70" s="79"/>
      <c r="G70" s="168"/>
    </row>
    <row r="71" spans="1:10">
      <c r="A71" s="63">
        <f t="shared" si="0"/>
        <v>59</v>
      </c>
      <c r="B71" s="4"/>
      <c r="C71" s="11"/>
      <c r="D71" s="32"/>
      <c r="E71" s="32"/>
    </row>
    <row r="72" spans="1:10">
      <c r="A72" s="63">
        <f t="shared" si="0"/>
        <v>60</v>
      </c>
      <c r="B72" s="4"/>
      <c r="C72" s="174" t="s">
        <v>138</v>
      </c>
      <c r="D72" s="32"/>
      <c r="E72" s="32"/>
    </row>
    <row r="73" spans="1:10">
      <c r="A73" s="63">
        <f t="shared" si="0"/>
        <v>61</v>
      </c>
      <c r="B73" s="179">
        <v>8620</v>
      </c>
      <c r="C73" s="180" t="s">
        <v>139</v>
      </c>
      <c r="D73" s="166">
        <v>0</v>
      </c>
      <c r="E73" s="166"/>
    </row>
    <row r="74" spans="1:10">
      <c r="A74" s="63">
        <f t="shared" si="0"/>
        <v>62</v>
      </c>
      <c r="B74" s="179">
        <v>8630</v>
      </c>
      <c r="C74" s="180" t="s">
        <v>140</v>
      </c>
      <c r="D74" s="167">
        <f>'C.2.2-F 09'!P65</f>
        <v>3091.2713752093377</v>
      </c>
      <c r="E74" s="178"/>
      <c r="J74" s="177"/>
    </row>
    <row r="75" spans="1:10">
      <c r="A75" s="63">
        <f t="shared" si="0"/>
        <v>63</v>
      </c>
      <c r="B75" s="179">
        <v>8640</v>
      </c>
      <c r="C75" s="180" t="s">
        <v>141</v>
      </c>
      <c r="D75" s="167">
        <f>'C.2.2-F 09'!P66</f>
        <v>0</v>
      </c>
      <c r="E75" s="178"/>
    </row>
    <row r="76" spans="1:10">
      <c r="A76" s="63">
        <f t="shared" si="0"/>
        <v>64</v>
      </c>
      <c r="B76" s="179">
        <v>8650</v>
      </c>
      <c r="C76" s="180" t="s">
        <v>142</v>
      </c>
      <c r="D76" s="167">
        <f>'C.2.2-F 09'!P67</f>
        <v>412.44765735378132</v>
      </c>
      <c r="E76" s="178"/>
      <c r="J76" s="177"/>
    </row>
    <row r="77" spans="1:10">
      <c r="A77" s="63">
        <f t="shared" si="0"/>
        <v>65</v>
      </c>
      <c r="B77" s="179">
        <v>8670</v>
      </c>
      <c r="C77" s="180" t="s">
        <v>143</v>
      </c>
      <c r="D77" s="167">
        <v>0</v>
      </c>
      <c r="E77" s="178"/>
      <c r="J77" s="177"/>
    </row>
    <row r="78" spans="1:10">
      <c r="A78" s="63">
        <f t="shared" si="0"/>
        <v>66</v>
      </c>
      <c r="B78" s="4"/>
      <c r="C78" s="80" t="s">
        <v>144</v>
      </c>
      <c r="D78" s="172">
        <f>SUM(D73:D77)</f>
        <v>3503.7190325631191</v>
      </c>
      <c r="E78" s="25"/>
      <c r="F78" s="79"/>
      <c r="G78" s="168"/>
    </row>
    <row r="79" spans="1:10">
      <c r="A79" s="63">
        <f t="shared" ref="A79:A142" si="1">A78+1</f>
        <v>67</v>
      </c>
      <c r="B79" s="4"/>
      <c r="C79" s="11"/>
      <c r="D79" s="32"/>
      <c r="E79" s="32"/>
    </row>
    <row r="80" spans="1:10">
      <c r="A80" s="63">
        <f t="shared" si="1"/>
        <v>68</v>
      </c>
      <c r="B80" s="4"/>
      <c r="C80" s="174" t="s">
        <v>145</v>
      </c>
      <c r="D80" s="73"/>
      <c r="E80" s="73"/>
    </row>
    <row r="81" spans="1:6">
      <c r="A81" s="63">
        <f t="shared" si="1"/>
        <v>69</v>
      </c>
      <c r="B81" s="117">
        <v>8001</v>
      </c>
      <c r="C81" s="118" t="s">
        <v>146</v>
      </c>
      <c r="D81" s="166">
        <f>'C.2.2-F 09'!P31</f>
        <v>0</v>
      </c>
      <c r="E81" s="166"/>
    </row>
    <row r="82" spans="1:6">
      <c r="A82" s="63">
        <f t="shared" si="1"/>
        <v>70</v>
      </c>
      <c r="B82" s="117">
        <v>8010</v>
      </c>
      <c r="C82" s="145" t="s">
        <v>147</v>
      </c>
      <c r="D82" s="178">
        <f>'C.2.2-F 09'!P32</f>
        <v>81272.137245381979</v>
      </c>
      <c r="E82" s="166"/>
    </row>
    <row r="83" spans="1:6">
      <c r="A83" s="63">
        <f t="shared" si="1"/>
        <v>71</v>
      </c>
      <c r="B83" s="164">
        <v>8040</v>
      </c>
      <c r="C83" s="57" t="s">
        <v>148</v>
      </c>
      <c r="D83" s="178">
        <f>'C.2.2-F 09'!P33</f>
        <v>56991987.583865479</v>
      </c>
      <c r="E83" s="178"/>
      <c r="F83" s="178"/>
    </row>
    <row r="84" spans="1:6">
      <c r="A84" s="63">
        <f t="shared" si="1"/>
        <v>72</v>
      </c>
      <c r="B84" s="164">
        <v>8045</v>
      </c>
      <c r="C84" s="57" t="s">
        <v>149</v>
      </c>
      <c r="D84" s="178">
        <v>0</v>
      </c>
      <c r="E84" s="178"/>
      <c r="F84" s="178"/>
    </row>
    <row r="85" spans="1:6">
      <c r="A85" s="63">
        <f t="shared" si="1"/>
        <v>73</v>
      </c>
      <c r="B85" s="117">
        <v>8050</v>
      </c>
      <c r="C85" s="118" t="s">
        <v>150</v>
      </c>
      <c r="D85" s="178">
        <f>'C.2.2-F 09'!P34</f>
        <v>-17551.962109324333</v>
      </c>
      <c r="E85" s="178"/>
      <c r="F85" s="178"/>
    </row>
    <row r="86" spans="1:6">
      <c r="A86" s="63">
        <f t="shared" si="1"/>
        <v>74</v>
      </c>
      <c r="B86" s="164">
        <v>8051</v>
      </c>
      <c r="C86" s="57" t="s">
        <v>151</v>
      </c>
      <c r="D86" s="178">
        <f>'C.2.2-F 09'!P35</f>
        <v>45436441.511870168</v>
      </c>
      <c r="E86" s="178"/>
      <c r="F86" s="178"/>
    </row>
    <row r="87" spans="1:6">
      <c r="A87" s="63">
        <f t="shared" si="1"/>
        <v>75</v>
      </c>
      <c r="B87" s="164">
        <v>8052</v>
      </c>
      <c r="C87" s="57" t="s">
        <v>152</v>
      </c>
      <c r="D87" s="178">
        <f>'C.2.2-F 09'!P36</f>
        <v>23451444.652359258</v>
      </c>
      <c r="E87" s="178"/>
      <c r="F87" s="178"/>
    </row>
    <row r="88" spans="1:6">
      <c r="A88" s="63">
        <f t="shared" si="1"/>
        <v>76</v>
      </c>
      <c r="B88" s="164">
        <v>8053</v>
      </c>
      <c r="C88" s="57" t="s">
        <v>153</v>
      </c>
      <c r="D88" s="178">
        <f>'C.2.2-F 09'!P37</f>
        <v>6473398.3703446072</v>
      </c>
      <c r="E88" s="178"/>
      <c r="F88" s="178"/>
    </row>
    <row r="89" spans="1:6">
      <c r="A89" s="63">
        <f t="shared" si="1"/>
        <v>77</v>
      </c>
      <c r="B89" s="164">
        <v>8054</v>
      </c>
      <c r="C89" s="57" t="s">
        <v>154</v>
      </c>
      <c r="D89" s="178">
        <f>'C.2.2-F 09'!P38</f>
        <v>4552017.5884690257</v>
      </c>
      <c r="E89" s="178"/>
      <c r="F89" s="178"/>
    </row>
    <row r="90" spans="1:6">
      <c r="A90" s="63">
        <f t="shared" si="1"/>
        <v>78</v>
      </c>
      <c r="B90" s="164">
        <v>8057</v>
      </c>
      <c r="C90" s="57" t="s">
        <v>155</v>
      </c>
      <c r="D90" s="178">
        <v>0</v>
      </c>
      <c r="E90" s="178"/>
      <c r="F90" s="178"/>
    </row>
    <row r="91" spans="1:6">
      <c r="A91" s="63">
        <f t="shared" si="1"/>
        <v>79</v>
      </c>
      <c r="B91" s="164">
        <v>8058</v>
      </c>
      <c r="C91" s="57" t="s">
        <v>156</v>
      </c>
      <c r="D91" s="178">
        <f>'C.2.2-F 09'!P39</f>
        <v>-1182255.0598540921</v>
      </c>
      <c r="E91" s="178"/>
      <c r="F91" s="178"/>
    </row>
    <row r="92" spans="1:6">
      <c r="A92" s="63">
        <f t="shared" si="1"/>
        <v>80</v>
      </c>
      <c r="B92" s="164">
        <v>8059</v>
      </c>
      <c r="C92" s="57" t="s">
        <v>157</v>
      </c>
      <c r="D92" s="178">
        <f>'C.2.2-F 09'!P40</f>
        <v>-92651830.938525483</v>
      </c>
      <c r="E92" s="178"/>
      <c r="F92" s="178"/>
    </row>
    <row r="93" spans="1:6">
      <c r="A93" s="63">
        <f t="shared" si="1"/>
        <v>81</v>
      </c>
      <c r="B93" s="164">
        <v>8060</v>
      </c>
      <c r="C93" s="57" t="s">
        <v>158</v>
      </c>
      <c r="D93" s="178">
        <f>'C.2.2-F 09'!P41</f>
        <v>6250360.1010106523</v>
      </c>
      <c r="E93" s="178"/>
      <c r="F93" s="178"/>
    </row>
    <row r="94" spans="1:6">
      <c r="A94" s="63">
        <f t="shared" si="1"/>
        <v>82</v>
      </c>
      <c r="B94" s="164">
        <v>8081</v>
      </c>
      <c r="C94" s="57" t="s">
        <v>159</v>
      </c>
      <c r="D94" s="178">
        <f>'C.2.2-F 09'!P42</f>
        <v>15070639.332660321</v>
      </c>
      <c r="E94" s="178"/>
      <c r="F94" s="178"/>
    </row>
    <row r="95" spans="1:6">
      <c r="A95" s="63">
        <f t="shared" si="1"/>
        <v>83</v>
      </c>
      <c r="B95" s="164">
        <v>8082</v>
      </c>
      <c r="C95" s="57" t="s">
        <v>160</v>
      </c>
      <c r="D95" s="178">
        <f>'C.2.2-F 09'!P43</f>
        <v>-17546750.989506993</v>
      </c>
      <c r="E95" s="178"/>
      <c r="F95" s="178"/>
    </row>
    <row r="96" spans="1:6">
      <c r="A96" s="63">
        <f t="shared" si="1"/>
        <v>84</v>
      </c>
      <c r="B96" s="117">
        <v>8110</v>
      </c>
      <c r="C96" s="111" t="s">
        <v>161</v>
      </c>
      <c r="D96" s="178">
        <v>0</v>
      </c>
      <c r="E96" s="178"/>
      <c r="F96" s="178"/>
    </row>
    <row r="97" spans="1:10">
      <c r="A97" s="63">
        <f t="shared" si="1"/>
        <v>85</v>
      </c>
      <c r="B97" s="164">
        <v>8120</v>
      </c>
      <c r="C97" s="57" t="s">
        <v>162</v>
      </c>
      <c r="D97" s="178">
        <f>'C.2.2-F 09'!P44</f>
        <v>-21929.820379914829</v>
      </c>
      <c r="E97" s="178"/>
      <c r="F97" s="178"/>
    </row>
    <row r="98" spans="1:10">
      <c r="A98" s="63">
        <f t="shared" si="1"/>
        <v>86</v>
      </c>
      <c r="B98" s="164">
        <v>8130</v>
      </c>
      <c r="C98" s="57" t="s">
        <v>229</v>
      </c>
      <c r="D98" s="178">
        <v>0</v>
      </c>
      <c r="E98" s="178"/>
      <c r="F98" s="178"/>
    </row>
    <row r="99" spans="1:10">
      <c r="A99" s="63">
        <f t="shared" si="1"/>
        <v>87</v>
      </c>
      <c r="B99" s="117">
        <v>8580</v>
      </c>
      <c r="C99" s="111" t="s">
        <v>163</v>
      </c>
      <c r="D99" s="178">
        <f>'C.2.2-F 09'!P45</f>
        <v>31821874.735359967</v>
      </c>
      <c r="E99" s="178"/>
    </row>
    <row r="100" spans="1:10">
      <c r="A100" s="63">
        <f t="shared" si="1"/>
        <v>88</v>
      </c>
      <c r="B100" s="4"/>
      <c r="C100" s="183" t="s">
        <v>164</v>
      </c>
      <c r="D100" s="172">
        <f>SUM(D81:D99)</f>
        <v>78709117.242809042</v>
      </c>
      <c r="E100" s="25"/>
      <c r="F100" s="79"/>
      <c r="G100" s="168"/>
    </row>
    <row r="101" spans="1:10">
      <c r="A101" s="63">
        <f t="shared" si="1"/>
        <v>89</v>
      </c>
      <c r="B101" s="4"/>
      <c r="D101" s="5"/>
      <c r="E101" s="5"/>
    </row>
    <row r="102" spans="1:10">
      <c r="A102" s="63">
        <f t="shared" si="1"/>
        <v>90</v>
      </c>
      <c r="B102" s="4"/>
      <c r="C102" s="174" t="s">
        <v>165</v>
      </c>
      <c r="D102" s="5"/>
      <c r="E102" s="5"/>
    </row>
    <row r="103" spans="1:10">
      <c r="A103" s="63">
        <f t="shared" si="1"/>
        <v>91</v>
      </c>
      <c r="B103" s="164">
        <v>8700</v>
      </c>
      <c r="C103" s="165" t="s">
        <v>166</v>
      </c>
      <c r="D103" s="166">
        <f>'C.2.2-F 09'!P68</f>
        <v>1207940.061616773</v>
      </c>
      <c r="E103" s="166"/>
      <c r="J103" s="177"/>
    </row>
    <row r="104" spans="1:10">
      <c r="A104" s="63">
        <f t="shared" si="1"/>
        <v>92</v>
      </c>
      <c r="B104" s="164">
        <v>8710</v>
      </c>
      <c r="C104" s="165" t="s">
        <v>167</v>
      </c>
      <c r="D104" s="178">
        <f>'C.2.2-F 09'!P69</f>
        <v>986.12287230336733</v>
      </c>
      <c r="E104" s="178"/>
      <c r="J104" s="177"/>
    </row>
    <row r="105" spans="1:10">
      <c r="A105" s="63">
        <f t="shared" si="1"/>
        <v>93</v>
      </c>
      <c r="B105" s="164">
        <v>8711</v>
      </c>
      <c r="C105" s="57" t="s">
        <v>168</v>
      </c>
      <c r="D105" s="178">
        <f>'C.2.2-F 09'!P70</f>
        <v>2669.6805949620798</v>
      </c>
      <c r="E105" s="178"/>
      <c r="J105" s="177"/>
    </row>
    <row r="106" spans="1:10">
      <c r="A106" s="63">
        <f t="shared" si="1"/>
        <v>94</v>
      </c>
      <c r="B106" s="164">
        <v>8720</v>
      </c>
      <c r="C106" s="165" t="s">
        <v>169</v>
      </c>
      <c r="D106" s="178">
        <f>'C.2.2-F 09'!P71</f>
        <v>0</v>
      </c>
      <c r="E106" s="178"/>
    </row>
    <row r="107" spans="1:10">
      <c r="A107" s="63">
        <f t="shared" si="1"/>
        <v>95</v>
      </c>
      <c r="B107" s="164">
        <v>8740</v>
      </c>
      <c r="C107" s="165" t="s">
        <v>170</v>
      </c>
      <c r="D107" s="178">
        <f>'C.2.2-F 09'!P72</f>
        <v>3444977.8442807291</v>
      </c>
      <c r="E107" s="178"/>
      <c r="J107" s="177"/>
    </row>
    <row r="108" spans="1:10">
      <c r="A108" s="63">
        <f t="shared" si="1"/>
        <v>96</v>
      </c>
      <c r="B108" s="164">
        <v>8750</v>
      </c>
      <c r="C108" s="165" t="s">
        <v>171</v>
      </c>
      <c r="D108" s="178">
        <f>'C.2.2-F 09'!P73</f>
        <v>484493.92707599961</v>
      </c>
      <c r="E108" s="178"/>
      <c r="J108" s="177"/>
    </row>
    <row r="109" spans="1:10">
      <c r="A109" s="63">
        <f t="shared" si="1"/>
        <v>97</v>
      </c>
      <c r="B109" s="164">
        <v>8760</v>
      </c>
      <c r="C109" s="165" t="s">
        <v>172</v>
      </c>
      <c r="D109" s="178">
        <f>'C.2.2-F 09'!P74</f>
        <v>30793.343437887364</v>
      </c>
      <c r="E109" s="178"/>
      <c r="J109" s="177"/>
    </row>
    <row r="110" spans="1:10">
      <c r="A110" s="63">
        <f t="shared" si="1"/>
        <v>98</v>
      </c>
      <c r="B110" s="164">
        <v>8770</v>
      </c>
      <c r="C110" s="165" t="s">
        <v>173</v>
      </c>
      <c r="D110" s="178">
        <f>'C.2.2-F 09'!P75</f>
        <v>22312.907654589118</v>
      </c>
      <c r="E110" s="178"/>
      <c r="J110" s="177"/>
    </row>
    <row r="111" spans="1:10">
      <c r="A111" s="63">
        <f t="shared" si="1"/>
        <v>99</v>
      </c>
      <c r="B111" s="164">
        <v>8780</v>
      </c>
      <c r="C111" s="165" t="s">
        <v>174</v>
      </c>
      <c r="D111" s="178">
        <f>'C.2.2-F 09'!P76</f>
        <v>940679.24685626116</v>
      </c>
      <c r="E111" s="178"/>
      <c r="J111" s="177"/>
    </row>
    <row r="112" spans="1:10">
      <c r="A112" s="63">
        <f t="shared" si="1"/>
        <v>100</v>
      </c>
      <c r="B112" s="164">
        <v>8790</v>
      </c>
      <c r="C112" s="165" t="s">
        <v>175</v>
      </c>
      <c r="D112" s="178">
        <f>'C.2.2-F 09'!P77</f>
        <v>4184.3139723859586</v>
      </c>
      <c r="E112" s="178"/>
      <c r="J112" s="177"/>
    </row>
    <row r="113" spans="1:10">
      <c r="A113" s="63">
        <f t="shared" si="1"/>
        <v>101</v>
      </c>
      <c r="B113" s="164">
        <v>8800</v>
      </c>
      <c r="C113" s="165" t="s">
        <v>176</v>
      </c>
      <c r="D113" s="178">
        <f>'C.2.2-F 09'!P78</f>
        <v>145790.61195528042</v>
      </c>
      <c r="E113" s="178"/>
      <c r="J113" s="177"/>
    </row>
    <row r="114" spans="1:10">
      <c r="A114" s="63">
        <f t="shared" si="1"/>
        <v>102</v>
      </c>
      <c r="B114" s="164">
        <v>8810</v>
      </c>
      <c r="C114" s="165" t="s">
        <v>136</v>
      </c>
      <c r="D114" s="178">
        <f>'C.2.2-F 09'!P79</f>
        <v>344254.54247830564</v>
      </c>
      <c r="E114" s="178"/>
      <c r="J114" s="177"/>
    </row>
    <row r="115" spans="1:10">
      <c r="A115" s="63">
        <f t="shared" si="1"/>
        <v>103</v>
      </c>
      <c r="B115" s="4"/>
      <c r="C115" s="80" t="s">
        <v>177</v>
      </c>
      <c r="D115" s="172">
        <f>SUM(D103:D114)</f>
        <v>6629082.602795477</v>
      </c>
      <c r="E115" s="25"/>
      <c r="F115" s="79"/>
      <c r="G115" s="168"/>
    </row>
    <row r="116" spans="1:10">
      <c r="A116" s="63">
        <f t="shared" si="1"/>
        <v>104</v>
      </c>
      <c r="B116" s="4"/>
      <c r="D116" s="5"/>
      <c r="E116" s="5"/>
    </row>
    <row r="117" spans="1:10">
      <c r="A117" s="63">
        <f t="shared" si="1"/>
        <v>105</v>
      </c>
      <c r="B117" s="63"/>
      <c r="C117" s="174" t="s">
        <v>178</v>
      </c>
      <c r="D117" s="73"/>
      <c r="E117" s="73"/>
    </row>
    <row r="118" spans="1:10">
      <c r="A118" s="63">
        <f t="shared" si="1"/>
        <v>106</v>
      </c>
      <c r="B118" s="164">
        <v>8850</v>
      </c>
      <c r="C118" s="165" t="s">
        <v>166</v>
      </c>
      <c r="D118" s="166">
        <f>'C.2.2-F 09'!P80</f>
        <v>1398.5321008175843</v>
      </c>
      <c r="E118" s="166"/>
      <c r="H118" s="177"/>
      <c r="J118" s="177"/>
    </row>
    <row r="119" spans="1:10">
      <c r="A119" s="63">
        <f t="shared" si="1"/>
        <v>107</v>
      </c>
      <c r="B119" s="164">
        <v>8860</v>
      </c>
      <c r="C119" s="165" t="s">
        <v>139</v>
      </c>
      <c r="D119" s="178">
        <f>'C.2.2-F 09'!P81</f>
        <v>308.86009704748483</v>
      </c>
      <c r="E119" s="178"/>
      <c r="H119" s="177"/>
      <c r="J119" s="177"/>
    </row>
    <row r="120" spans="1:10">
      <c r="A120" s="63">
        <f t="shared" si="1"/>
        <v>108</v>
      </c>
      <c r="B120" s="164">
        <v>8870</v>
      </c>
      <c r="C120" s="165" t="s">
        <v>140</v>
      </c>
      <c r="D120" s="178">
        <f>'C.2.2-F 09'!P82</f>
        <v>30023.101548851871</v>
      </c>
      <c r="E120" s="178"/>
      <c r="H120" s="177"/>
      <c r="J120" s="177"/>
    </row>
    <row r="121" spans="1:10">
      <c r="A121" s="63">
        <f t="shared" si="1"/>
        <v>109</v>
      </c>
      <c r="B121" s="164">
        <v>8890</v>
      </c>
      <c r="C121" s="165" t="s">
        <v>171</v>
      </c>
      <c r="D121" s="178">
        <f>'C.2.2-F 09'!P83</f>
        <v>37.649089638392894</v>
      </c>
      <c r="E121" s="178"/>
      <c r="H121" s="177"/>
      <c r="J121" s="177"/>
    </row>
    <row r="122" spans="1:10">
      <c r="A122" s="63">
        <f t="shared" si="1"/>
        <v>110</v>
      </c>
      <c r="B122" s="164">
        <v>8900</v>
      </c>
      <c r="C122" s="165" t="s">
        <v>172</v>
      </c>
      <c r="D122" s="178">
        <f>'C.2.2-F 09'!P84</f>
        <v>9170.0186946386402</v>
      </c>
      <c r="E122" s="178"/>
      <c r="H122" s="177"/>
      <c r="J122" s="177"/>
    </row>
    <row r="123" spans="1:10">
      <c r="A123" s="63">
        <f t="shared" si="1"/>
        <v>111</v>
      </c>
      <c r="B123" s="164">
        <v>8910</v>
      </c>
      <c r="C123" s="165" t="s">
        <v>173</v>
      </c>
      <c r="D123" s="178">
        <f>'C.2.2-F 09'!P85</f>
        <v>4224.8530064507568</v>
      </c>
      <c r="E123" s="178"/>
      <c r="H123" s="177"/>
      <c r="J123" s="177"/>
    </row>
    <row r="124" spans="1:10">
      <c r="A124" s="63">
        <f t="shared" si="1"/>
        <v>112</v>
      </c>
      <c r="B124" s="164">
        <v>8920</v>
      </c>
      <c r="C124" s="165" t="s">
        <v>179</v>
      </c>
      <c r="D124" s="178">
        <f>'C.2.2-F 09'!P86</f>
        <v>106.28241897364295</v>
      </c>
      <c r="E124" s="178"/>
      <c r="H124" s="177"/>
      <c r="J124" s="177"/>
    </row>
    <row r="125" spans="1:10">
      <c r="A125" s="63">
        <f t="shared" si="1"/>
        <v>113</v>
      </c>
      <c r="B125" s="164">
        <v>8930</v>
      </c>
      <c r="C125" s="165" t="s">
        <v>180</v>
      </c>
      <c r="D125" s="178">
        <f>'C.2.2-F 09'!P87</f>
        <v>90412.683935747889</v>
      </c>
      <c r="E125" s="178"/>
      <c r="H125" s="177"/>
      <c r="J125" s="177"/>
    </row>
    <row r="126" spans="1:10">
      <c r="A126" s="63">
        <f t="shared" si="1"/>
        <v>114</v>
      </c>
      <c r="B126" s="164">
        <v>8940</v>
      </c>
      <c r="C126" s="165" t="s">
        <v>143</v>
      </c>
      <c r="D126" s="178">
        <f>'C.2.2-F 09'!P88</f>
        <v>10779.038586833656</v>
      </c>
      <c r="E126" s="178"/>
      <c r="H126" s="177"/>
      <c r="J126" s="177"/>
    </row>
    <row r="127" spans="1:10">
      <c r="A127" s="63">
        <f t="shared" si="1"/>
        <v>115</v>
      </c>
      <c r="B127" s="184" t="s">
        <v>230</v>
      </c>
      <c r="C127" s="165" t="s">
        <v>181</v>
      </c>
      <c r="D127" s="182">
        <v>0</v>
      </c>
      <c r="E127" s="178"/>
      <c r="H127" s="177"/>
    </row>
    <row r="128" spans="1:10">
      <c r="A128" s="63">
        <f t="shared" si="1"/>
        <v>116</v>
      </c>
      <c r="B128" s="4"/>
      <c r="C128" s="80" t="s">
        <v>182</v>
      </c>
      <c r="D128" s="25">
        <f>SUM(D118:D127)</f>
        <v>146461.01947899992</v>
      </c>
      <c r="E128" s="25"/>
      <c r="F128" s="79"/>
      <c r="G128" s="168"/>
    </row>
    <row r="129" spans="1:10">
      <c r="A129" s="63">
        <f t="shared" si="1"/>
        <v>117</v>
      </c>
      <c r="B129" s="4"/>
      <c r="C129" s="80"/>
      <c r="D129" s="32"/>
      <c r="E129" s="32"/>
    </row>
    <row r="130" spans="1:10">
      <c r="A130" s="63">
        <f t="shared" si="1"/>
        <v>118</v>
      </c>
      <c r="B130" s="63"/>
      <c r="C130" s="174" t="s">
        <v>183</v>
      </c>
      <c r="D130" s="73"/>
      <c r="E130" s="73"/>
    </row>
    <row r="131" spans="1:10">
      <c r="A131" s="63">
        <f t="shared" si="1"/>
        <v>119</v>
      </c>
      <c r="B131" s="164">
        <v>9010</v>
      </c>
      <c r="C131" s="165" t="s">
        <v>184</v>
      </c>
      <c r="D131" s="166">
        <f>'C.2.2-F 09'!P89</f>
        <v>421.11141508071182</v>
      </c>
      <c r="E131" s="166"/>
      <c r="H131" s="177"/>
      <c r="J131" s="177"/>
    </row>
    <row r="132" spans="1:10">
      <c r="A132" s="63">
        <f t="shared" si="1"/>
        <v>120</v>
      </c>
      <c r="B132" s="164">
        <v>9020</v>
      </c>
      <c r="C132" s="165" t="s">
        <v>185</v>
      </c>
      <c r="D132" s="178">
        <f>'C.2.2-F 09'!P90</f>
        <v>1251833.2497718523</v>
      </c>
      <c r="E132" s="178"/>
      <c r="H132" s="177"/>
      <c r="J132" s="177"/>
    </row>
    <row r="133" spans="1:10">
      <c r="A133" s="63">
        <f t="shared" si="1"/>
        <v>121</v>
      </c>
      <c r="B133" s="164">
        <v>9030</v>
      </c>
      <c r="C133" s="165" t="s">
        <v>186</v>
      </c>
      <c r="D133" s="178">
        <f>'C.2.2-F 09'!P91</f>
        <v>1762399.2143104097</v>
      </c>
      <c r="E133" s="178"/>
      <c r="H133" s="177"/>
      <c r="J133" s="177"/>
    </row>
    <row r="134" spans="1:10">
      <c r="A134" s="63">
        <f t="shared" si="1"/>
        <v>122</v>
      </c>
      <c r="B134" s="164">
        <v>9040</v>
      </c>
      <c r="C134" s="165" t="s">
        <v>187</v>
      </c>
      <c r="D134" s="178">
        <f>'C.2.2-F 09'!P92</f>
        <v>362112.25893361459</v>
      </c>
      <c r="E134" s="178"/>
      <c r="H134" s="177"/>
      <c r="J134" s="177"/>
    </row>
    <row r="135" spans="1:10">
      <c r="A135" s="63">
        <f t="shared" si="1"/>
        <v>123</v>
      </c>
      <c r="B135" s="63"/>
      <c r="C135" s="80" t="s">
        <v>188</v>
      </c>
      <c r="D135" s="172">
        <f>SUM(D131:D134)</f>
        <v>3376765.8344309572</v>
      </c>
      <c r="E135" s="25"/>
      <c r="F135" s="79"/>
      <c r="G135" s="168"/>
      <c r="H135" s="177"/>
    </row>
    <row r="136" spans="1:10">
      <c r="A136" s="63">
        <f t="shared" si="1"/>
        <v>124</v>
      </c>
      <c r="B136" s="4"/>
      <c r="D136" s="5"/>
      <c r="E136" s="5"/>
    </row>
    <row r="137" spans="1:10">
      <c r="A137" s="63">
        <f t="shared" si="1"/>
        <v>125</v>
      </c>
      <c r="B137" s="4"/>
      <c r="C137" s="174" t="s">
        <v>189</v>
      </c>
      <c r="D137" s="5"/>
      <c r="E137" s="5"/>
    </row>
    <row r="138" spans="1:10">
      <c r="A138" s="63">
        <f t="shared" si="1"/>
        <v>126</v>
      </c>
      <c r="B138" s="164">
        <v>9070</v>
      </c>
      <c r="C138" s="165" t="s">
        <v>184</v>
      </c>
      <c r="D138" s="166">
        <v>0</v>
      </c>
      <c r="E138" s="166"/>
      <c r="H138" s="177"/>
      <c r="J138" s="177"/>
    </row>
    <row r="139" spans="1:10">
      <c r="A139" s="63">
        <f t="shared" si="1"/>
        <v>127</v>
      </c>
      <c r="B139" s="164">
        <v>9080</v>
      </c>
      <c r="C139" s="165" t="s">
        <v>190</v>
      </c>
      <c r="D139" s="178">
        <v>0</v>
      </c>
      <c r="E139" s="178"/>
      <c r="H139" s="177"/>
      <c r="J139" s="177"/>
    </row>
    <row r="140" spans="1:10">
      <c r="A140" s="63">
        <f t="shared" si="1"/>
        <v>128</v>
      </c>
      <c r="B140" s="164">
        <v>9090</v>
      </c>
      <c r="C140" s="165" t="s">
        <v>191</v>
      </c>
      <c r="D140" s="178">
        <f>'C.2.2-F 09'!P93</f>
        <v>133613.60616766004</v>
      </c>
      <c r="E140" s="178"/>
      <c r="H140" s="177"/>
      <c r="J140" s="177"/>
    </row>
    <row r="141" spans="1:10">
      <c r="A141" s="63">
        <f t="shared" si="1"/>
        <v>129</v>
      </c>
      <c r="B141" s="164">
        <v>9100</v>
      </c>
      <c r="C141" s="165" t="s">
        <v>192</v>
      </c>
      <c r="D141" s="178">
        <f>'C.2.2-F 09'!P94</f>
        <v>0</v>
      </c>
      <c r="E141" s="178"/>
      <c r="H141" s="177"/>
      <c r="J141" s="177"/>
    </row>
    <row r="142" spans="1:10">
      <c r="A142" s="63">
        <f t="shared" si="1"/>
        <v>130</v>
      </c>
      <c r="B142" s="63"/>
      <c r="C142" s="80" t="s">
        <v>193</v>
      </c>
      <c r="D142" s="172">
        <f>SUM(D138:D141)</f>
        <v>133613.60616766004</v>
      </c>
      <c r="E142" s="25"/>
      <c r="F142" s="79"/>
      <c r="G142" s="168"/>
    </row>
    <row r="143" spans="1:10">
      <c r="A143" s="63">
        <f t="shared" ref="A143:A177" si="2">A142+1</f>
        <v>131</v>
      </c>
      <c r="B143" s="63"/>
      <c r="C143" s="80"/>
      <c r="D143" s="32"/>
      <c r="E143" s="32"/>
    </row>
    <row r="144" spans="1:10">
      <c r="A144" s="63">
        <f t="shared" si="2"/>
        <v>132</v>
      </c>
      <c r="B144" s="63"/>
      <c r="C144" s="174" t="s">
        <v>66</v>
      </c>
      <c r="D144" s="73"/>
      <c r="E144" s="73"/>
    </row>
    <row r="145" spans="1:10">
      <c r="A145" s="63">
        <f t="shared" si="2"/>
        <v>133</v>
      </c>
      <c r="B145" s="164">
        <v>9110</v>
      </c>
      <c r="C145" s="165" t="s">
        <v>184</v>
      </c>
      <c r="D145" s="166">
        <f>'C.2.2-F 09'!P95</f>
        <v>266961.66291167575</v>
      </c>
      <c r="E145" s="166"/>
      <c r="H145" s="177"/>
      <c r="J145" s="177"/>
    </row>
    <row r="146" spans="1:10">
      <c r="A146" s="63">
        <f t="shared" si="2"/>
        <v>134</v>
      </c>
      <c r="B146" s="164">
        <v>9120</v>
      </c>
      <c r="C146" s="165" t="s">
        <v>194</v>
      </c>
      <c r="D146" s="178">
        <f>'C.2.2-F 09'!P96</f>
        <v>131289.94335798768</v>
      </c>
      <c r="E146" s="178"/>
      <c r="H146" s="177"/>
      <c r="J146" s="177"/>
    </row>
    <row r="147" spans="1:10">
      <c r="A147" s="63">
        <f t="shared" si="2"/>
        <v>135</v>
      </c>
      <c r="B147" s="164">
        <v>9130</v>
      </c>
      <c r="C147" s="165" t="s">
        <v>195</v>
      </c>
      <c r="D147" s="178">
        <f>'C.2.2-F 09'!P97</f>
        <v>45483.023228428916</v>
      </c>
      <c r="E147" s="178"/>
      <c r="H147" s="177"/>
      <c r="J147" s="177"/>
    </row>
    <row r="148" spans="1:10">
      <c r="A148" s="63">
        <f t="shared" si="2"/>
        <v>136</v>
      </c>
      <c r="B148" s="164">
        <v>9160</v>
      </c>
      <c r="C148" s="165" t="s">
        <v>196</v>
      </c>
      <c r="D148" s="178">
        <v>0</v>
      </c>
      <c r="E148" s="178"/>
      <c r="H148" s="177"/>
      <c r="J148" s="177"/>
    </row>
    <row r="149" spans="1:10">
      <c r="A149" s="63">
        <f t="shared" si="2"/>
        <v>137</v>
      </c>
      <c r="B149" s="63"/>
      <c r="C149" s="80" t="s">
        <v>197</v>
      </c>
      <c r="D149" s="172">
        <f>SUM(D145:D148)</f>
        <v>443734.62949809234</v>
      </c>
      <c r="E149" s="25"/>
      <c r="F149" s="79"/>
      <c r="G149" s="168"/>
    </row>
    <row r="150" spans="1:10">
      <c r="A150" s="63">
        <f t="shared" si="2"/>
        <v>138</v>
      </c>
      <c r="B150" s="4"/>
      <c r="D150" s="73"/>
      <c r="E150" s="73"/>
    </row>
    <row r="151" spans="1:10">
      <c r="A151" s="63">
        <f t="shared" si="2"/>
        <v>139</v>
      </c>
      <c r="B151" s="63"/>
      <c r="C151" s="174" t="s">
        <v>198</v>
      </c>
      <c r="D151" s="73"/>
      <c r="E151" s="73"/>
      <c r="H151" s="177"/>
    </row>
    <row r="152" spans="1:10">
      <c r="A152" s="63">
        <f t="shared" si="2"/>
        <v>140</v>
      </c>
      <c r="B152" s="164">
        <v>9200</v>
      </c>
      <c r="C152" s="165" t="s">
        <v>199</v>
      </c>
      <c r="D152" s="25">
        <f>'C.2.2-F 09'!P98</f>
        <v>142767.57962510464</v>
      </c>
      <c r="E152" s="166"/>
      <c r="H152" s="177"/>
      <c r="J152" s="177"/>
    </row>
    <row r="153" spans="1:10">
      <c r="A153" s="63">
        <f t="shared" si="2"/>
        <v>141</v>
      </c>
      <c r="B153" s="164">
        <v>9210</v>
      </c>
      <c r="C153" s="165" t="s">
        <v>200</v>
      </c>
      <c r="D153" s="178">
        <f>'C.2.2-F 09'!P99</f>
        <v>3248.5906297654274</v>
      </c>
      <c r="E153" s="178"/>
      <c r="H153" s="177"/>
      <c r="J153" s="177"/>
    </row>
    <row r="154" spans="1:10">
      <c r="A154" s="63">
        <f t="shared" si="2"/>
        <v>142</v>
      </c>
      <c r="B154" s="164">
        <v>9220</v>
      </c>
      <c r="C154" s="165" t="s">
        <v>201</v>
      </c>
      <c r="D154" s="178">
        <f>'C.2.2-F 09'!P100</f>
        <v>14012400.830261085</v>
      </c>
      <c r="E154" s="178"/>
      <c r="H154" s="177"/>
      <c r="J154" s="177"/>
    </row>
    <row r="155" spans="1:10">
      <c r="A155" s="63">
        <f t="shared" si="2"/>
        <v>143</v>
      </c>
      <c r="B155" s="164">
        <v>9230</v>
      </c>
      <c r="C155" s="165" t="s">
        <v>202</v>
      </c>
      <c r="D155" s="178">
        <f>'C.2.2-F 09'!P101</f>
        <v>69849.535966556228</v>
      </c>
      <c r="E155" s="178"/>
      <c r="H155" s="177"/>
      <c r="J155" s="177"/>
    </row>
    <row r="156" spans="1:10">
      <c r="A156" s="63">
        <f t="shared" si="2"/>
        <v>144</v>
      </c>
      <c r="B156" s="164">
        <v>9240</v>
      </c>
      <c r="C156" s="165" t="s">
        <v>203</v>
      </c>
      <c r="D156" s="178">
        <f>'C.2.2-F 09'!P102</f>
        <v>5559.6807405956506</v>
      </c>
      <c r="E156" s="178"/>
      <c r="H156" s="177"/>
      <c r="J156" s="177"/>
    </row>
    <row r="157" spans="1:10">
      <c r="A157" s="63">
        <f t="shared" si="2"/>
        <v>145</v>
      </c>
      <c r="B157" s="164">
        <v>9250</v>
      </c>
      <c r="C157" s="165" t="s">
        <v>204</v>
      </c>
      <c r="D157" s="178">
        <f>'C.2.2-F 09'!P103</f>
        <v>17941.386899079786</v>
      </c>
      <c r="E157" s="178"/>
      <c r="H157" s="177"/>
      <c r="J157" s="177"/>
    </row>
    <row r="158" spans="1:10">
      <c r="A158" s="63">
        <f t="shared" si="2"/>
        <v>146</v>
      </c>
      <c r="B158" s="164">
        <v>9260</v>
      </c>
      <c r="C158" s="165" t="s">
        <v>205</v>
      </c>
      <c r="D158" s="178">
        <f>'C.2.2-F 09'!P104</f>
        <v>1843199.3610297418</v>
      </c>
      <c r="E158" s="178"/>
      <c r="H158" s="177"/>
      <c r="J158" s="177"/>
    </row>
    <row r="159" spans="1:10">
      <c r="A159" s="63">
        <f t="shared" si="2"/>
        <v>147</v>
      </c>
      <c r="B159" s="164">
        <v>9270</v>
      </c>
      <c r="C159" s="165" t="s">
        <v>206</v>
      </c>
      <c r="D159" s="178">
        <f>'C.2.2-F 09'!P105</f>
        <v>1483.0356442416694</v>
      </c>
      <c r="E159" s="178"/>
      <c r="H159" s="177"/>
      <c r="J159" s="177"/>
    </row>
    <row r="160" spans="1:10">
      <c r="A160" s="63">
        <f t="shared" si="2"/>
        <v>148</v>
      </c>
      <c r="B160" s="164">
        <v>9280</v>
      </c>
      <c r="C160" s="165" t="s">
        <v>207</v>
      </c>
      <c r="D160" s="178">
        <f>'C.2.2-F 09'!P106</f>
        <v>0</v>
      </c>
      <c r="E160" s="178"/>
      <c r="H160" s="177"/>
      <c r="J160" s="177"/>
    </row>
    <row r="161" spans="1:10">
      <c r="A161" s="63">
        <f t="shared" si="2"/>
        <v>149</v>
      </c>
      <c r="B161" s="185">
        <v>930.2</v>
      </c>
      <c r="C161" s="165" t="s">
        <v>208</v>
      </c>
      <c r="D161" s="178">
        <f>'C.2.2-F 09'!P107</f>
        <v>49700.901303923936</v>
      </c>
      <c r="E161" s="178"/>
      <c r="H161" s="177"/>
      <c r="J161" s="177"/>
    </row>
    <row r="162" spans="1:10">
      <c r="A162" s="63">
        <f t="shared" si="2"/>
        <v>150</v>
      </c>
      <c r="B162" s="117">
        <v>9310</v>
      </c>
      <c r="C162" s="118" t="s">
        <v>209</v>
      </c>
      <c r="D162" s="178">
        <f>'C.2.2-F 09'!P108</f>
        <v>12770.835559908166</v>
      </c>
      <c r="E162" s="178"/>
      <c r="H162" s="177"/>
      <c r="J162" s="177"/>
    </row>
    <row r="163" spans="1:10">
      <c r="A163" s="63">
        <f t="shared" si="2"/>
        <v>151</v>
      </c>
      <c r="B163" s="63"/>
      <c r="C163" s="80" t="s">
        <v>210</v>
      </c>
      <c r="D163" s="172">
        <f>SUM(D152:D162)</f>
        <v>16158921.737660004</v>
      </c>
      <c r="E163" s="25"/>
      <c r="F163" s="79"/>
      <c r="G163" s="168"/>
    </row>
    <row r="164" spans="1:10">
      <c r="A164" s="63">
        <f t="shared" si="2"/>
        <v>152</v>
      </c>
      <c r="B164" s="63"/>
      <c r="C164" s="56"/>
      <c r="D164" s="73"/>
      <c r="E164" s="73"/>
      <c r="H164" s="177"/>
    </row>
    <row r="165" spans="1:10">
      <c r="A165" s="63">
        <f t="shared" si="2"/>
        <v>153</v>
      </c>
      <c r="B165" s="63"/>
      <c r="C165" s="174" t="s">
        <v>211</v>
      </c>
      <c r="D165" s="73"/>
      <c r="E165" s="73"/>
      <c r="H165" s="177"/>
    </row>
    <row r="166" spans="1:10">
      <c r="A166" s="63">
        <f t="shared" si="2"/>
        <v>154</v>
      </c>
      <c r="B166" s="164">
        <v>9320</v>
      </c>
      <c r="C166" s="165" t="s">
        <v>231</v>
      </c>
      <c r="D166" s="182">
        <f>'C.2.2-F 09'!P109</f>
        <v>0</v>
      </c>
      <c r="E166" s="178"/>
      <c r="H166" s="177"/>
    </row>
    <row r="167" spans="1:10">
      <c r="A167" s="63">
        <f t="shared" si="2"/>
        <v>155</v>
      </c>
      <c r="B167" s="63"/>
      <c r="C167" s="80" t="s">
        <v>213</v>
      </c>
      <c r="D167" s="71">
        <f>SUM(D166:D166)</f>
        <v>0</v>
      </c>
      <c r="E167" s="71"/>
      <c r="H167" s="177"/>
    </row>
    <row r="168" spans="1:10">
      <c r="A168" s="63">
        <f t="shared" si="2"/>
        <v>156</v>
      </c>
      <c r="B168" s="4"/>
      <c r="D168" s="5"/>
      <c r="E168" s="5"/>
      <c r="H168" s="177"/>
    </row>
    <row r="169" spans="1:10">
      <c r="A169" s="63">
        <f t="shared" si="2"/>
        <v>157</v>
      </c>
      <c r="B169" s="63"/>
      <c r="C169" s="162" t="s">
        <v>214</v>
      </c>
      <c r="D169" s="25">
        <f>+D34+D50+D60+D70+D78+D100+D115+D128+D135+D142+D149+D163+D167</f>
        <v>106273350.86988822</v>
      </c>
      <c r="E169" s="25"/>
      <c r="H169" s="177"/>
      <c r="I169" s="101"/>
    </row>
    <row r="170" spans="1:10">
      <c r="A170" s="63">
        <f t="shared" si="2"/>
        <v>158</v>
      </c>
      <c r="B170" s="4"/>
      <c r="D170" s="5"/>
      <c r="E170" s="5"/>
      <c r="H170" s="177"/>
    </row>
    <row r="171" spans="1:10">
      <c r="A171" s="63">
        <f t="shared" si="2"/>
        <v>159</v>
      </c>
      <c r="B171" s="63" t="s">
        <v>215</v>
      </c>
      <c r="C171" s="57" t="s">
        <v>216</v>
      </c>
      <c r="D171" s="166">
        <f>'C.2.2-F 09'!P14+'C.2.2-F 09'!P15</f>
        <v>21561512.250947833</v>
      </c>
      <c r="E171" s="166"/>
      <c r="F171" s="79"/>
      <c r="G171" s="168"/>
      <c r="H171" s="177"/>
    </row>
    <row r="172" spans="1:10">
      <c r="A172" s="63">
        <f t="shared" si="2"/>
        <v>160</v>
      </c>
      <c r="B172" s="164">
        <v>4081</v>
      </c>
      <c r="C172" s="57" t="s">
        <v>217</v>
      </c>
      <c r="D172" s="178">
        <f>'C.2.2-F 09'!P16</f>
        <v>6566445.2651408128</v>
      </c>
      <c r="E172" s="178"/>
      <c r="F172" s="79"/>
      <c r="G172" s="168"/>
      <c r="H172" s="177"/>
    </row>
    <row r="173" spans="1:10">
      <c r="A173" s="63">
        <f t="shared" si="2"/>
        <v>161</v>
      </c>
      <c r="B173" s="164">
        <v>4091</v>
      </c>
      <c r="C173" s="57" t="s">
        <v>219</v>
      </c>
      <c r="D173" s="178">
        <f>'C.2.2-F 09'!P12</f>
        <v>10801686.154425904</v>
      </c>
      <c r="E173" s="178"/>
      <c r="F173" s="79"/>
      <c r="G173" s="168"/>
    </row>
    <row r="174" spans="1:10">
      <c r="A174" s="63">
        <f t="shared" si="2"/>
        <v>162</v>
      </c>
      <c r="B174" s="186"/>
      <c r="D174" s="5"/>
      <c r="E174" s="5"/>
    </row>
    <row r="175" spans="1:10">
      <c r="A175" s="63">
        <f t="shared" si="2"/>
        <v>163</v>
      </c>
      <c r="B175" s="187"/>
      <c r="C175" s="57" t="s">
        <v>232</v>
      </c>
      <c r="D175" s="176">
        <f>+D169+SUM(D171:D173)</f>
        <v>145202994.54040277</v>
      </c>
      <c r="E175" s="166"/>
    </row>
    <row r="176" spans="1:10">
      <c r="A176" s="63">
        <f t="shared" si="2"/>
        <v>164</v>
      </c>
      <c r="B176" s="186"/>
      <c r="D176" s="5"/>
      <c r="E176" s="5"/>
    </row>
    <row r="177" spans="1:5" ht="15.75" thickBot="1">
      <c r="A177" s="63">
        <f t="shared" si="2"/>
        <v>165</v>
      </c>
      <c r="B177" s="187"/>
      <c r="C177" s="57" t="s">
        <v>233</v>
      </c>
      <c r="D177" s="188">
        <f>(D28-D175)</f>
        <v>25526281.371017933</v>
      </c>
      <c r="E177" s="166"/>
    </row>
    <row r="178" spans="1:5" ht="15.75" thickTop="1">
      <c r="A178" s="99"/>
      <c r="B178" s="189"/>
      <c r="C178" s="99"/>
      <c r="D178" s="190"/>
      <c r="E178" s="190"/>
    </row>
    <row r="179" spans="1:5">
      <c r="A179" s="99"/>
      <c r="B179" s="191"/>
      <c r="C179" s="99"/>
      <c r="D179" s="99"/>
      <c r="E179" s="99"/>
    </row>
    <row r="180" spans="1:5">
      <c r="B180" s="192"/>
    </row>
    <row r="181" spans="1:5">
      <c r="B181" s="192"/>
    </row>
    <row r="182" spans="1:5">
      <c r="B182" s="192"/>
    </row>
    <row r="183" spans="1:5">
      <c r="B183" s="192"/>
    </row>
    <row r="184" spans="1:5">
      <c r="B184" s="186"/>
    </row>
    <row r="185" spans="1:5">
      <c r="B185" s="186"/>
    </row>
    <row r="186" spans="1:5">
      <c r="B186" s="186"/>
    </row>
    <row r="187" spans="1:5">
      <c r="B187" s="186"/>
    </row>
    <row r="188" spans="1:5">
      <c r="B188" s="186"/>
    </row>
  </sheetData>
  <mergeCells count="4">
    <mergeCell ref="A1:D1"/>
    <mergeCell ref="A2:D2"/>
    <mergeCell ref="A3:D3"/>
    <mergeCell ref="A4:D4"/>
  </mergeCells>
  <printOptions horizontalCentered="1"/>
  <pageMargins left="0.81" right="0.7" top="0.71" bottom="0.94" header="0.5" footer="0.25"/>
  <pageSetup scale="73" fitToHeight="10" orientation="portrait" verticalDpi="300" r:id="rId1"/>
  <headerFooter alignWithMargins="0">
    <oddHeader>&amp;RCASE NO. 2017-00349
FR 16(8)(c)
ATTACHMENT 1</oddHeader>
    <oddFooter>&amp;RSchedule &amp;A
Page &amp;P of &amp;N</oddFooter>
  </headerFooter>
  <rowBreaks count="1" manualBreakCount="1">
    <brk id="5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view="pageBreakPreview" zoomScale="60" zoomScaleNormal="70" workbookViewId="0">
      <pane xSplit="3" ySplit="10" topLeftCell="D11" activePane="bottomRight" state="frozen"/>
      <selection activeCell="E14" sqref="E14"/>
      <selection pane="topRight" activeCell="E14" sqref="E14"/>
      <selection pane="bottomLeft" activeCell="E14" sqref="E14"/>
      <selection pane="bottomRight" sqref="A1:P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6"/>
      <c r="R1" s="6"/>
      <c r="S1" s="6"/>
    </row>
    <row r="2" spans="1:21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6"/>
      <c r="R2" s="6"/>
      <c r="S2" s="6"/>
    </row>
    <row r="3" spans="1:21">
      <c r="A3" s="308" t="s">
        <v>234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6"/>
      <c r="R3" s="6"/>
      <c r="S3" s="6"/>
    </row>
    <row r="4" spans="1:21">
      <c r="A4" s="308" t="s">
        <v>386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6"/>
      <c r="R4" s="6"/>
      <c r="S4" s="6"/>
    </row>
    <row r="5" spans="1:21" ht="15.75">
      <c r="A5" s="8"/>
      <c r="B5" s="8"/>
      <c r="C5" s="8"/>
      <c r="D5" s="190"/>
      <c r="E5" s="9"/>
      <c r="F5" s="193"/>
      <c r="G5" s="8"/>
      <c r="H5" s="8"/>
      <c r="I5" s="8"/>
      <c r="J5" s="9"/>
      <c r="K5" s="193"/>
      <c r="L5" s="8"/>
      <c r="M5" s="8"/>
      <c r="N5" s="8"/>
      <c r="O5" s="8"/>
      <c r="P5" s="8"/>
      <c r="Q5" s="6"/>
      <c r="R5" s="6"/>
      <c r="S5" s="6"/>
    </row>
    <row r="6" spans="1:21" ht="15.75">
      <c r="A6" s="194" t="str">
        <f>'C.2.1 B'!A6</f>
        <v>Data:___X____Base Period________Forecasted Period</v>
      </c>
      <c r="B6" s="5"/>
      <c r="C6" s="5"/>
      <c r="D6" s="190"/>
      <c r="E6" s="190"/>
      <c r="F6" s="193"/>
      <c r="G6" s="190"/>
      <c r="H6" s="190"/>
      <c r="I6" s="190"/>
      <c r="J6" s="190"/>
      <c r="K6" s="9"/>
      <c r="L6" s="5"/>
      <c r="M6" s="5"/>
      <c r="N6" s="5"/>
      <c r="O6" s="8"/>
      <c r="P6" s="195" t="s">
        <v>235</v>
      </c>
      <c r="Q6" s="6"/>
      <c r="R6" s="6"/>
      <c r="S6" s="6"/>
    </row>
    <row r="7" spans="1:21">
      <c r="A7" s="194" t="str">
        <f>'C.2.1 B'!A7</f>
        <v>Type of Filing:___X____Original________Updated ________Revised</v>
      </c>
      <c r="B7" s="5"/>
      <c r="C7" s="5"/>
      <c r="D7" s="190"/>
      <c r="E7" s="196"/>
      <c r="F7" s="5"/>
      <c r="G7" s="5"/>
      <c r="H7" s="5"/>
      <c r="I7" s="5"/>
      <c r="J7" s="5"/>
      <c r="K7" s="5"/>
      <c r="L7" s="5"/>
      <c r="M7" s="5"/>
      <c r="N7" s="5"/>
      <c r="O7" s="8"/>
      <c r="P7" s="197" t="s">
        <v>236</v>
      </c>
      <c r="Q7" s="6"/>
      <c r="R7" s="6"/>
      <c r="S7" s="6"/>
    </row>
    <row r="8" spans="1:21">
      <c r="A8" s="198" t="str">
        <f>'C.2.1 B'!A8</f>
        <v>Workpaper Reference No(s).____________________</v>
      </c>
      <c r="B8" s="5"/>
      <c r="C8" s="5"/>
      <c r="D8" s="199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99"/>
      <c r="P8" s="201" t="str">
        <f>C.1!J9</f>
        <v>Witness: Waller, Martin</v>
      </c>
      <c r="Q8" s="6"/>
      <c r="R8" s="6"/>
      <c r="S8" s="6"/>
    </row>
    <row r="9" spans="1:21">
      <c r="A9" s="202" t="s">
        <v>21</v>
      </c>
      <c r="B9" s="203" t="s">
        <v>237</v>
      </c>
      <c r="C9" s="204"/>
      <c r="D9" s="205" t="s">
        <v>238</v>
      </c>
      <c r="E9" s="205" t="s">
        <v>238</v>
      </c>
      <c r="F9" s="205" t="s">
        <v>238</v>
      </c>
      <c r="G9" s="205" t="s">
        <v>238</v>
      </c>
      <c r="H9" s="205" t="s">
        <v>238</v>
      </c>
      <c r="I9" s="205" t="s">
        <v>238</v>
      </c>
      <c r="J9" s="205" t="s">
        <v>20</v>
      </c>
      <c r="K9" s="205" t="s">
        <v>20</v>
      </c>
      <c r="L9" s="205" t="s">
        <v>20</v>
      </c>
      <c r="M9" s="206" t="s">
        <v>239</v>
      </c>
      <c r="N9" s="206" t="s">
        <v>239</v>
      </c>
      <c r="O9" s="206" t="s">
        <v>239</v>
      </c>
      <c r="P9" s="8"/>
      <c r="Q9" s="4"/>
      <c r="R9" s="4"/>
      <c r="S9" s="4"/>
    </row>
    <row r="10" spans="1:21">
      <c r="A10" s="207" t="s">
        <v>24</v>
      </c>
      <c r="B10" s="2" t="s">
        <v>24</v>
      </c>
      <c r="C10" s="208" t="s">
        <v>240</v>
      </c>
      <c r="D10" s="209">
        <v>42736</v>
      </c>
      <c r="E10" s="209">
        <v>42767</v>
      </c>
      <c r="F10" s="209">
        <v>42795</v>
      </c>
      <c r="G10" s="209">
        <v>42826</v>
      </c>
      <c r="H10" s="209">
        <v>42856</v>
      </c>
      <c r="I10" s="209">
        <v>42887</v>
      </c>
      <c r="J10" s="209">
        <v>42917</v>
      </c>
      <c r="K10" s="209">
        <v>42948</v>
      </c>
      <c r="L10" s="209">
        <v>42979</v>
      </c>
      <c r="M10" s="209">
        <v>43009</v>
      </c>
      <c r="N10" s="209">
        <v>43040</v>
      </c>
      <c r="O10" s="209">
        <v>43070</v>
      </c>
      <c r="P10" s="210" t="s">
        <v>241</v>
      </c>
      <c r="Q10" s="211"/>
      <c r="R10" s="4"/>
      <c r="S10" s="4"/>
    </row>
    <row r="11" spans="1:21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17"/>
      <c r="R11" s="6"/>
    </row>
    <row r="12" spans="1:21">
      <c r="A12" s="8">
        <v>1</v>
      </c>
      <c r="B12" s="212" t="s">
        <v>218</v>
      </c>
      <c r="C12" s="213" t="s">
        <v>243</v>
      </c>
      <c r="D12" s="116">
        <f>0</f>
        <v>0</v>
      </c>
      <c r="E12" s="116">
        <f>0</f>
        <v>0</v>
      </c>
      <c r="F12" s="116">
        <f>0</f>
        <v>0</v>
      </c>
      <c r="G12" s="116">
        <f>0</f>
        <v>0</v>
      </c>
      <c r="H12" s="116" t="s">
        <v>244</v>
      </c>
      <c r="I12" s="116">
        <f>0</f>
        <v>0</v>
      </c>
      <c r="J12" s="134">
        <v>2085664.4416611555</v>
      </c>
      <c r="K12" s="134">
        <v>2085664.4416611555</v>
      </c>
      <c r="L12" s="134">
        <v>2085664.4416611555</v>
      </c>
      <c r="M12" s="134">
        <v>2085664.4416611555</v>
      </c>
      <c r="N12" s="134">
        <v>2085664.4416611555</v>
      </c>
      <c r="O12" s="134">
        <v>2085664.4416611555</v>
      </c>
      <c r="P12" s="5">
        <f>SUM(D12:O12)</f>
        <v>12513986.649966933</v>
      </c>
      <c r="Q12" s="79"/>
      <c r="R12" s="79"/>
      <c r="S12" s="79"/>
      <c r="U12" s="214"/>
    </row>
    <row r="13" spans="1:21">
      <c r="A13" s="8">
        <f t="shared" ref="A13:A76" si="0">A12+1</f>
        <v>2</v>
      </c>
      <c r="B13" s="212"/>
      <c r="C13" s="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5"/>
      <c r="R13" s="6"/>
      <c r="S13" s="6"/>
    </row>
    <row r="14" spans="1:21">
      <c r="A14" s="8">
        <f t="shared" si="0"/>
        <v>3</v>
      </c>
      <c r="B14" s="212">
        <v>4030</v>
      </c>
      <c r="C14" s="5" t="s">
        <v>70</v>
      </c>
      <c r="D14" s="215">
        <v>1539524.1799999997</v>
      </c>
      <c r="E14" s="215">
        <v>1543650.84</v>
      </c>
      <c r="F14" s="215">
        <v>1552616.9000000004</v>
      </c>
      <c r="G14" s="215">
        <v>1562447.87</v>
      </c>
      <c r="H14" s="215">
        <v>1569259.6400000001</v>
      </c>
      <c r="I14" s="215">
        <v>1584165.39</v>
      </c>
      <c r="J14" s="215">
        <v>1559465.0197916699</v>
      </c>
      <c r="K14" s="215">
        <v>1604120.31979167</v>
      </c>
      <c r="L14" s="215">
        <v>1642423.8447916401</v>
      </c>
      <c r="M14" s="215">
        <v>1557417.4893696301</v>
      </c>
      <c r="N14" s="215">
        <v>1565605.12936963</v>
      </c>
      <c r="O14" s="215">
        <v>1569037.90936963</v>
      </c>
      <c r="P14" s="5">
        <f t="shared" ref="P14:P64" si="1">SUM(D14:O14)</f>
        <v>18849734.532483872</v>
      </c>
      <c r="Q14" s="216"/>
      <c r="R14" s="5"/>
      <c r="S14" s="5"/>
    </row>
    <row r="15" spans="1:21">
      <c r="A15" s="8">
        <f t="shared" si="0"/>
        <v>4</v>
      </c>
      <c r="B15" s="212">
        <v>4060</v>
      </c>
      <c r="C15" s="5" t="s">
        <v>245</v>
      </c>
      <c r="D15" s="215">
        <v>4131.76</v>
      </c>
      <c r="E15" s="215">
        <v>4131.76</v>
      </c>
      <c r="F15" s="215">
        <v>4131.76</v>
      </c>
      <c r="G15" s="215">
        <v>4131.76</v>
      </c>
      <c r="H15" s="215">
        <v>4131.76</v>
      </c>
      <c r="I15" s="215">
        <v>4131.76</v>
      </c>
      <c r="J15" s="215">
        <f>I15</f>
        <v>4131.76</v>
      </c>
      <c r="K15" s="215">
        <f t="shared" ref="K15:O15" si="2">J15</f>
        <v>4131.76</v>
      </c>
      <c r="L15" s="215">
        <f t="shared" si="2"/>
        <v>4131.76</v>
      </c>
      <c r="M15" s="215">
        <f t="shared" si="2"/>
        <v>4131.76</v>
      </c>
      <c r="N15" s="215">
        <f t="shared" si="2"/>
        <v>4131.76</v>
      </c>
      <c r="O15" s="215">
        <f t="shared" si="2"/>
        <v>4131.76</v>
      </c>
      <c r="P15" s="5">
        <f t="shared" si="1"/>
        <v>49581.120000000017</v>
      </c>
      <c r="R15" s="79"/>
      <c r="S15" s="6"/>
    </row>
    <row r="16" spans="1:21">
      <c r="A16" s="8">
        <f t="shared" si="0"/>
        <v>5</v>
      </c>
      <c r="B16" s="212">
        <v>4081</v>
      </c>
      <c r="C16" s="5" t="s">
        <v>246</v>
      </c>
      <c r="D16" s="215">
        <v>430926.30000000005</v>
      </c>
      <c r="E16" s="215">
        <v>346632.42000000004</v>
      </c>
      <c r="F16" s="215">
        <v>374616.85000000021</v>
      </c>
      <c r="G16" s="215">
        <v>250215.94999999992</v>
      </c>
      <c r="H16" s="215">
        <v>471464.82999999996</v>
      </c>
      <c r="I16" s="215">
        <v>389331.08</v>
      </c>
      <c r="J16" s="215">
        <f>'C.2.3 B'!I24</f>
        <v>368367.00000000006</v>
      </c>
      <c r="K16" s="215">
        <f>'C.2.3 B'!J24</f>
        <v>325373.00000000006</v>
      </c>
      <c r="L16" s="215">
        <f>'C.2.3 B'!K24</f>
        <v>400973.00000000006</v>
      </c>
      <c r="M16" s="215">
        <f>'C.2.3 B'!L24</f>
        <v>486262.67551217193</v>
      </c>
      <c r="N16" s="215">
        <f>'C.2.3 B'!M24</f>
        <v>520530.67551217193</v>
      </c>
      <c r="O16" s="215">
        <f>'C.2.3 B'!N24</f>
        <v>465681.67551217193</v>
      </c>
      <c r="P16" s="5">
        <f>SUM(D16:O16)</f>
        <v>4830375.4565365165</v>
      </c>
      <c r="Q16" s="79"/>
      <c r="R16" s="196"/>
      <c r="S16" s="79"/>
    </row>
    <row r="17" spans="1:25">
      <c r="A17" s="8">
        <f t="shared" si="0"/>
        <v>6</v>
      </c>
      <c r="B17" s="212">
        <v>4800</v>
      </c>
      <c r="C17" s="217" t="s">
        <v>247</v>
      </c>
      <c r="D17" s="215">
        <v>-14513202.599999998</v>
      </c>
      <c r="E17" s="215">
        <v>-12401756.080000002</v>
      </c>
      <c r="F17" s="215">
        <v>-9837265.3999999985</v>
      </c>
      <c r="G17" s="215">
        <v>-7970174.8899999997</v>
      </c>
      <c r="H17" s="215">
        <v>-5001329.6400000006</v>
      </c>
      <c r="I17" s="215">
        <v>-4280264.37</v>
      </c>
      <c r="J17" s="116">
        <v>-3977683.4600166129</v>
      </c>
      <c r="K17" s="116">
        <v>-3985743.8769326014</v>
      </c>
      <c r="L17" s="116">
        <v>-3950372.2449711487</v>
      </c>
      <c r="M17" s="116">
        <v>-5098884.0329309786</v>
      </c>
      <c r="N17" s="116">
        <v>-8426387.0845348835</v>
      </c>
      <c r="O17" s="116">
        <v>-12560923.913642969</v>
      </c>
      <c r="P17" s="5">
        <f t="shared" si="1"/>
        <v>-92003987.593029201</v>
      </c>
      <c r="Q17" s="6"/>
      <c r="R17" s="6"/>
      <c r="S17" s="6"/>
    </row>
    <row r="18" spans="1:25">
      <c r="A18" s="8">
        <f t="shared" si="0"/>
        <v>7</v>
      </c>
      <c r="B18" s="212">
        <v>4805</v>
      </c>
      <c r="C18" s="217" t="s">
        <v>248</v>
      </c>
      <c r="D18" s="215">
        <v>-469639.75</v>
      </c>
      <c r="E18" s="215">
        <v>1575634.25</v>
      </c>
      <c r="F18" s="215">
        <v>970697.5</v>
      </c>
      <c r="G18" s="215">
        <v>1251100.75</v>
      </c>
      <c r="H18" s="215">
        <v>548262.25</v>
      </c>
      <c r="I18" s="215">
        <v>160043.25</v>
      </c>
      <c r="J18" s="116"/>
      <c r="K18" s="116"/>
      <c r="L18" s="116"/>
      <c r="M18" s="116"/>
      <c r="N18" s="116"/>
      <c r="O18" s="116"/>
      <c r="P18" s="5">
        <f t="shared" si="1"/>
        <v>4036098.25</v>
      </c>
      <c r="Q18" s="6"/>
      <c r="R18" s="6"/>
      <c r="S18" s="6"/>
    </row>
    <row r="19" spans="1:25">
      <c r="A19" s="8">
        <f t="shared" si="0"/>
        <v>8</v>
      </c>
      <c r="B19" s="212">
        <v>4811</v>
      </c>
      <c r="C19" s="217" t="s">
        <v>249</v>
      </c>
      <c r="D19" s="215">
        <v>-6015709.9900000002</v>
      </c>
      <c r="E19" s="215">
        <v>-4997093.8500000006</v>
      </c>
      <c r="F19" s="215">
        <v>-3975390.9000000004</v>
      </c>
      <c r="G19" s="215">
        <v>-3087843.16</v>
      </c>
      <c r="H19" s="215">
        <v>-2175017.16</v>
      </c>
      <c r="I19" s="215">
        <v>-1875289.33</v>
      </c>
      <c r="J19" s="116">
        <v>-1891638.1867555245</v>
      </c>
      <c r="K19" s="116">
        <v>-1890232.08206765</v>
      </c>
      <c r="L19" s="116">
        <v>-1870520.4892872761</v>
      </c>
      <c r="M19" s="116">
        <v>-2242327.1828385834</v>
      </c>
      <c r="N19" s="116">
        <v>-3481018.7270582351</v>
      </c>
      <c r="O19" s="116">
        <v>-4940966.5934923086</v>
      </c>
      <c r="P19" s="5">
        <f t="shared" si="1"/>
        <v>-38443047.651499577</v>
      </c>
      <c r="Q19" s="6"/>
      <c r="R19" s="79"/>
      <c r="S19" s="6"/>
    </row>
    <row r="20" spans="1:25">
      <c r="A20" s="8">
        <f t="shared" si="0"/>
        <v>9</v>
      </c>
      <c r="B20" s="212">
        <v>4812</v>
      </c>
      <c r="C20" s="5" t="s">
        <v>250</v>
      </c>
      <c r="D20" s="215">
        <v>-879114.97</v>
      </c>
      <c r="E20" s="215">
        <v>-863109.11</v>
      </c>
      <c r="F20" s="215">
        <v>-978759.8899999999</v>
      </c>
      <c r="G20" s="215">
        <v>-585026.64</v>
      </c>
      <c r="H20" s="215">
        <v>-578724.99</v>
      </c>
      <c r="I20" s="215">
        <v>-688370.26</v>
      </c>
      <c r="J20" s="116">
        <v>-390261.25101000001</v>
      </c>
      <c r="K20" s="116">
        <v>-292705.93046499998</v>
      </c>
      <c r="L20" s="116">
        <v>-327152.0098856666</v>
      </c>
      <c r="M20" s="116">
        <v>-257902.36749466666</v>
      </c>
      <c r="N20" s="116">
        <v>-308686.35804044816</v>
      </c>
      <c r="O20" s="116">
        <v>-666571.78784753638</v>
      </c>
      <c r="P20" s="5">
        <f t="shared" si="1"/>
        <v>-6816385.5647433177</v>
      </c>
      <c r="Q20" s="6"/>
      <c r="R20" s="79"/>
      <c r="S20" s="6"/>
    </row>
    <row r="21" spans="1:25">
      <c r="A21" s="8">
        <f t="shared" si="0"/>
        <v>10</v>
      </c>
      <c r="B21" s="212">
        <v>4815</v>
      </c>
      <c r="C21" s="5" t="s">
        <v>251</v>
      </c>
      <c r="D21" s="215">
        <v>-312723</v>
      </c>
      <c r="E21" s="215">
        <v>758592.75</v>
      </c>
      <c r="F21" s="215">
        <v>351237.75</v>
      </c>
      <c r="G21" s="215">
        <v>564893.75</v>
      </c>
      <c r="H21" s="215">
        <v>122835.5</v>
      </c>
      <c r="I21" s="215">
        <v>39474</v>
      </c>
      <c r="J21" s="116"/>
      <c r="K21" s="116"/>
      <c r="L21" s="116"/>
      <c r="M21" s="116"/>
      <c r="N21" s="116"/>
      <c r="O21" s="116"/>
      <c r="P21" s="5">
        <f t="shared" si="1"/>
        <v>1524310.75</v>
      </c>
      <c r="Q21" s="6"/>
      <c r="R21" s="79"/>
      <c r="S21" s="6"/>
    </row>
    <row r="22" spans="1:25">
      <c r="A22" s="8">
        <f t="shared" si="0"/>
        <v>11</v>
      </c>
      <c r="B22" s="212">
        <v>4816</v>
      </c>
      <c r="C22" s="5" t="s">
        <v>252</v>
      </c>
      <c r="D22" s="215">
        <v>-193638.24</v>
      </c>
      <c r="E22" s="215">
        <v>-209627.9</v>
      </c>
      <c r="F22" s="215">
        <v>243164.97</v>
      </c>
      <c r="G22" s="215">
        <v>33559.599999999999</v>
      </c>
      <c r="H22" s="215">
        <v>-179297.55000000002</v>
      </c>
      <c r="I22" s="215">
        <v>405234.05000000005</v>
      </c>
      <c r="J22" s="116"/>
      <c r="K22" s="116"/>
      <c r="L22" s="116"/>
      <c r="M22" s="116"/>
      <c r="N22" s="116"/>
      <c r="O22" s="116"/>
      <c r="P22" s="5">
        <f t="shared" si="1"/>
        <v>99394.930000000051</v>
      </c>
      <c r="R22" s="79"/>
      <c r="S22" s="6"/>
    </row>
    <row r="23" spans="1:25">
      <c r="A23" s="8">
        <f t="shared" si="0"/>
        <v>12</v>
      </c>
      <c r="B23" s="212">
        <v>4820</v>
      </c>
      <c r="C23" s="5" t="s">
        <v>253</v>
      </c>
      <c r="D23" s="215">
        <v>-1046459.38</v>
      </c>
      <c r="E23" s="215">
        <v>-877899.77999999991</v>
      </c>
      <c r="F23" s="215">
        <v>-710312.75</v>
      </c>
      <c r="G23" s="215">
        <v>-551378.64</v>
      </c>
      <c r="H23" s="215">
        <v>-335450.63</v>
      </c>
      <c r="I23" s="215">
        <v>-257582.33</v>
      </c>
      <c r="J23" s="116">
        <v>-248275.32537714636</v>
      </c>
      <c r="K23" s="116">
        <v>-257557.29241529177</v>
      </c>
      <c r="L23" s="116">
        <v>-247986.08147423447</v>
      </c>
      <c r="M23" s="116">
        <v>-345623.72771904792</v>
      </c>
      <c r="N23" s="116">
        <v>-607276.52855381754</v>
      </c>
      <c r="O23" s="116">
        <v>-911440.84380762954</v>
      </c>
      <c r="P23" s="5">
        <f t="shared" si="1"/>
        <v>-6397243.3093471676</v>
      </c>
      <c r="Q23" s="5"/>
      <c r="R23" s="79"/>
      <c r="S23" s="6"/>
    </row>
    <row r="24" spans="1:25">
      <c r="A24" s="8">
        <f t="shared" si="0"/>
        <v>13</v>
      </c>
      <c r="B24" s="212">
        <v>4825</v>
      </c>
      <c r="C24" s="5" t="s">
        <v>254</v>
      </c>
      <c r="D24" s="215">
        <v>-27855</v>
      </c>
      <c r="E24" s="215">
        <v>138141</v>
      </c>
      <c r="F24" s="215">
        <v>61310</v>
      </c>
      <c r="G24" s="215">
        <v>110081</v>
      </c>
      <c r="H24" s="215">
        <v>34779</v>
      </c>
      <c r="I24" s="215">
        <v>12969</v>
      </c>
      <c r="J24" s="116"/>
      <c r="K24" s="116"/>
      <c r="L24" s="116"/>
      <c r="M24" s="116"/>
      <c r="N24" s="116"/>
      <c r="O24" s="116"/>
      <c r="P24" s="5">
        <f t="shared" si="1"/>
        <v>329425</v>
      </c>
      <c r="S24" s="6"/>
    </row>
    <row r="25" spans="1:25">
      <c r="A25" s="8">
        <f t="shared" si="0"/>
        <v>14</v>
      </c>
      <c r="B25" s="212">
        <v>4870</v>
      </c>
      <c r="C25" s="5" t="s">
        <v>255</v>
      </c>
      <c r="D25" s="215">
        <v>-164679.28</v>
      </c>
      <c r="E25" s="215">
        <v>-178264.2</v>
      </c>
      <c r="F25" s="215">
        <v>-212874.13</v>
      </c>
      <c r="G25" s="215">
        <v>-110474.21</v>
      </c>
      <c r="H25" s="215">
        <v>-89244.24</v>
      </c>
      <c r="I25" s="215">
        <v>-73989.83</v>
      </c>
      <c r="J25" s="116">
        <v>-59150.040279274232</v>
      </c>
      <c r="K25" s="116">
        <v>-54438.933654652523</v>
      </c>
      <c r="L25" s="116">
        <v>-54578.946435618629</v>
      </c>
      <c r="M25" s="116">
        <v>-54003.632288822264</v>
      </c>
      <c r="N25" s="116">
        <v>-68403.679396344829</v>
      </c>
      <c r="O25" s="116">
        <v>-111350.6264652091</v>
      </c>
      <c r="P25" s="5">
        <f t="shared" si="1"/>
        <v>-1231451.7485199214</v>
      </c>
      <c r="R25" s="6"/>
      <c r="S25" s="6"/>
    </row>
    <row r="26" spans="1:25">
      <c r="A26" s="8">
        <f t="shared" si="0"/>
        <v>15</v>
      </c>
      <c r="B26" s="212">
        <v>4880</v>
      </c>
      <c r="C26" s="5" t="s">
        <v>256</v>
      </c>
      <c r="D26" s="215">
        <v>-58143</v>
      </c>
      <c r="E26" s="215">
        <v>-54428</v>
      </c>
      <c r="F26" s="215">
        <v>-74827</v>
      </c>
      <c r="G26" s="215">
        <v>-49906</v>
      </c>
      <c r="H26" s="215">
        <v>-53615</v>
      </c>
      <c r="I26" s="215">
        <v>-55356</v>
      </c>
      <c r="J26" s="116">
        <v>-45327</v>
      </c>
      <c r="K26" s="116">
        <v>-57173</v>
      </c>
      <c r="L26" s="116">
        <v>-55395</v>
      </c>
      <c r="M26" s="116">
        <v>-88176</v>
      </c>
      <c r="N26" s="116">
        <v>-126545</v>
      </c>
      <c r="O26" s="116">
        <v>-87101</v>
      </c>
      <c r="P26" s="5">
        <f t="shared" si="1"/>
        <v>-805992</v>
      </c>
      <c r="R26" s="6"/>
      <c r="S26" s="6"/>
    </row>
    <row r="27" spans="1:25">
      <c r="A27" s="8">
        <f t="shared" si="0"/>
        <v>16</v>
      </c>
      <c r="B27" s="212">
        <v>4893</v>
      </c>
      <c r="C27" s="5" t="s">
        <v>257</v>
      </c>
      <c r="D27" s="215">
        <v>-1601632.24</v>
      </c>
      <c r="E27" s="215">
        <v>-1516342.71</v>
      </c>
      <c r="F27" s="215">
        <v>-1462848.99</v>
      </c>
      <c r="G27" s="215">
        <v>-1288495.24</v>
      </c>
      <c r="H27" s="215">
        <v>-1321434.6400000001</v>
      </c>
      <c r="I27" s="215">
        <v>-1287337.8499999999</v>
      </c>
      <c r="J27" s="116">
        <v>-1031165.1010687258</v>
      </c>
      <c r="K27" s="116">
        <v>-1125835.1251621114</v>
      </c>
      <c r="L27" s="116">
        <v>-1137038.5377952971</v>
      </c>
      <c r="M27" s="116">
        <v>-1217906.5070548751</v>
      </c>
      <c r="N27" s="116">
        <v>-1335583.0520690915</v>
      </c>
      <c r="O27" s="116">
        <v>-1505273.8931012994</v>
      </c>
      <c r="P27" s="5">
        <f t="shared" si="1"/>
        <v>-15830893.886251401</v>
      </c>
      <c r="Q27" s="218"/>
      <c r="R27" s="9"/>
      <c r="S27" s="9"/>
      <c r="T27" s="9"/>
      <c r="U27" s="9"/>
      <c r="V27" s="9"/>
      <c r="W27" s="9"/>
      <c r="X27" s="9"/>
      <c r="Y27" s="9"/>
    </row>
    <row r="28" spans="1:25">
      <c r="A28" s="8">
        <f t="shared" si="0"/>
        <v>17</v>
      </c>
      <c r="B28" s="212">
        <v>4950</v>
      </c>
      <c r="C28" s="5" t="s">
        <v>98</v>
      </c>
      <c r="D28" s="215">
        <f>0</f>
        <v>0</v>
      </c>
      <c r="E28" s="215">
        <f>0</f>
        <v>0</v>
      </c>
      <c r="F28" s="215">
        <f>0</f>
        <v>0</v>
      </c>
      <c r="G28" s="215">
        <f>0</f>
        <v>0</v>
      </c>
      <c r="H28" s="215">
        <f>0</f>
        <v>0</v>
      </c>
      <c r="I28" s="215">
        <f>0</f>
        <v>0</v>
      </c>
      <c r="J28" s="116">
        <v>-183286.57023593987</v>
      </c>
      <c r="K28" s="116">
        <v>-180802.14429106572</v>
      </c>
      <c r="L28" s="116">
        <v>-183627.60898165885</v>
      </c>
      <c r="M28" s="116">
        <v>-198676.93726818013</v>
      </c>
      <c r="N28" s="116">
        <v>-196958.77298331514</v>
      </c>
      <c r="O28" s="116">
        <v>-230122.0238050755</v>
      </c>
      <c r="P28" s="5">
        <f t="shared" si="1"/>
        <v>-1173474.0575652353</v>
      </c>
      <c r="Q28" s="219"/>
    </row>
    <row r="29" spans="1:25">
      <c r="A29" s="8">
        <f t="shared" si="0"/>
        <v>18</v>
      </c>
      <c r="B29" s="212">
        <v>7560</v>
      </c>
      <c r="C29" s="9" t="s">
        <v>258</v>
      </c>
      <c r="D29" s="215">
        <f>0</f>
        <v>0</v>
      </c>
      <c r="E29" s="215">
        <f>0</f>
        <v>0</v>
      </c>
      <c r="F29" s="215">
        <f>0</f>
        <v>0</v>
      </c>
      <c r="G29" s="215">
        <f>0</f>
        <v>0</v>
      </c>
      <c r="H29" s="215">
        <f>0</f>
        <v>0</v>
      </c>
      <c r="I29" s="215">
        <f>0</f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5">
        <f t="shared" si="1"/>
        <v>0</v>
      </c>
      <c r="S29" s="6"/>
    </row>
    <row r="30" spans="1:25">
      <c r="A30" s="8">
        <f t="shared" si="0"/>
        <v>19</v>
      </c>
      <c r="B30" s="212">
        <v>7590</v>
      </c>
      <c r="C30" s="213" t="s">
        <v>104</v>
      </c>
      <c r="D30" s="215">
        <f>0</f>
        <v>0</v>
      </c>
      <c r="E30" s="215">
        <f>0</f>
        <v>0</v>
      </c>
      <c r="F30" s="215">
        <f>0</f>
        <v>0</v>
      </c>
      <c r="G30" s="215">
        <f>0</f>
        <v>0</v>
      </c>
      <c r="H30" s="215">
        <f>0</f>
        <v>0</v>
      </c>
      <c r="I30" s="215">
        <f>0</f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5">
        <f t="shared" si="1"/>
        <v>0</v>
      </c>
      <c r="S30" s="6"/>
    </row>
    <row r="31" spans="1:25">
      <c r="A31" s="8">
        <f t="shared" si="0"/>
        <v>20</v>
      </c>
      <c r="B31" s="212">
        <v>8001</v>
      </c>
      <c r="C31" s="5" t="s">
        <v>146</v>
      </c>
      <c r="D31" s="215">
        <f>0</f>
        <v>0</v>
      </c>
      <c r="E31" s="215">
        <f>0</f>
        <v>0</v>
      </c>
      <c r="F31" s="215">
        <f>0</f>
        <v>0</v>
      </c>
      <c r="G31" s="215">
        <f>0</f>
        <v>0</v>
      </c>
      <c r="H31" s="215">
        <f>0</f>
        <v>0</v>
      </c>
      <c r="I31" s="215">
        <f>0</f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5">
        <f t="shared" si="1"/>
        <v>0</v>
      </c>
      <c r="Q31" s="79"/>
      <c r="R31" s="79"/>
      <c r="S31" s="6"/>
    </row>
    <row r="32" spans="1:25">
      <c r="A32" s="8">
        <f t="shared" si="0"/>
        <v>21</v>
      </c>
      <c r="B32" s="212">
        <v>8010</v>
      </c>
      <c r="C32" s="213" t="s">
        <v>259</v>
      </c>
      <c r="D32" s="215">
        <v>5288.75</v>
      </c>
      <c r="E32" s="215">
        <v>4114.3100000000004</v>
      </c>
      <c r="F32" s="215">
        <v>3199.16</v>
      </c>
      <c r="G32" s="215">
        <v>3575.42</v>
      </c>
      <c r="H32" s="215">
        <v>6495.27</v>
      </c>
      <c r="I32" s="215">
        <v>4692.6899999999996</v>
      </c>
      <c r="J32" s="116">
        <v>5900.1687390890147</v>
      </c>
      <c r="K32" s="116">
        <v>14765.862696686941</v>
      </c>
      <c r="L32" s="116">
        <v>8198.033816264091</v>
      </c>
      <c r="M32" s="116">
        <v>6510.6774379487206</v>
      </c>
      <c r="N32" s="116">
        <v>7310.1663112454507</v>
      </c>
      <c r="O32" s="116">
        <v>3918.3676947158756</v>
      </c>
      <c r="P32" s="5">
        <f t="shared" ref="P32" si="3">SUM(D32:O32)</f>
        <v>73968.876695950108</v>
      </c>
      <c r="Q32" s="6"/>
      <c r="R32" s="6"/>
      <c r="S32" s="6"/>
    </row>
    <row r="33" spans="1:19">
      <c r="A33" s="8">
        <f t="shared" si="0"/>
        <v>22</v>
      </c>
      <c r="B33" s="212">
        <v>8040</v>
      </c>
      <c r="C33" s="5" t="s">
        <v>260</v>
      </c>
      <c r="D33" s="215">
        <v>5595688.3600000003</v>
      </c>
      <c r="E33" s="215">
        <v>4352529.0599999996</v>
      </c>
      <c r="F33" s="215">
        <v>337618.93</v>
      </c>
      <c r="G33" s="215">
        <v>768369.22000000009</v>
      </c>
      <c r="H33" s="215">
        <v>5923128.8099999996</v>
      </c>
      <c r="I33" s="215">
        <v>4115123.04</v>
      </c>
      <c r="J33" s="116">
        <v>4142482.2403230644</v>
      </c>
      <c r="K33" s="116">
        <v>6203886.4872926557</v>
      </c>
      <c r="L33" s="116">
        <v>4932798.8890008526</v>
      </c>
      <c r="M33" s="116">
        <v>6045126.7277077185</v>
      </c>
      <c r="N33" s="116">
        <v>8174615.2226054613</v>
      </c>
      <c r="O33" s="116">
        <v>1272096.3023464815</v>
      </c>
      <c r="P33" s="5">
        <f t="shared" si="1"/>
        <v>51863463.289276235</v>
      </c>
      <c r="Q33" s="6"/>
      <c r="R33" s="79"/>
      <c r="S33" s="6"/>
    </row>
    <row r="34" spans="1:19">
      <c r="A34" s="8">
        <f t="shared" si="0"/>
        <v>23</v>
      </c>
      <c r="B34" s="212">
        <v>8050</v>
      </c>
      <c r="C34" s="5" t="s">
        <v>261</v>
      </c>
      <c r="D34" s="215">
        <v>-885.57</v>
      </c>
      <c r="E34" s="215">
        <v>-310.92</v>
      </c>
      <c r="F34" s="215">
        <v>-228.3</v>
      </c>
      <c r="G34" s="215">
        <v>-69.099999999999994</v>
      </c>
      <c r="H34" s="215">
        <v>-1817.86</v>
      </c>
      <c r="I34" s="215">
        <v>-783.41</v>
      </c>
      <c r="J34" s="116">
        <v>-799.18091550348004</v>
      </c>
      <c r="K34" s="116">
        <v>-951.39050804120666</v>
      </c>
      <c r="L34" s="116">
        <v>-784.59545231550305</v>
      </c>
      <c r="M34" s="116">
        <v>-4437.4151627129868</v>
      </c>
      <c r="N34" s="116">
        <v>-683.28487338544301</v>
      </c>
      <c r="O34" s="116">
        <v>-5051.6632533634011</v>
      </c>
      <c r="P34" s="5">
        <f t="shared" si="1"/>
        <v>-16802.690165322019</v>
      </c>
      <c r="Q34" s="6"/>
      <c r="R34" s="79"/>
      <c r="S34" s="6"/>
    </row>
    <row r="35" spans="1:19">
      <c r="A35" s="8">
        <f t="shared" si="0"/>
        <v>24</v>
      </c>
      <c r="B35" s="212">
        <v>8051</v>
      </c>
      <c r="C35" s="5" t="s">
        <v>262</v>
      </c>
      <c r="D35" s="215">
        <v>8024574.0700000003</v>
      </c>
      <c r="E35" s="215">
        <v>6235593.46</v>
      </c>
      <c r="F35" s="215">
        <v>4547479.01</v>
      </c>
      <c r="G35" s="215">
        <v>3361821.54</v>
      </c>
      <c r="H35" s="215">
        <v>1534503.17</v>
      </c>
      <c r="I35" s="215">
        <v>1025911.25</v>
      </c>
      <c r="J35" s="116">
        <v>805444.07275892491</v>
      </c>
      <c r="K35" s="116">
        <v>824795.12915881083</v>
      </c>
      <c r="L35" s="116">
        <v>772207.91296427173</v>
      </c>
      <c r="M35" s="116">
        <v>1045038.7864227482</v>
      </c>
      <c r="N35" s="116">
        <v>2609623.4719726346</v>
      </c>
      <c r="O35" s="116">
        <v>5760891.6874248302</v>
      </c>
      <c r="P35" s="5">
        <f t="shared" si="1"/>
        <v>36547883.56070222</v>
      </c>
      <c r="Q35" s="6"/>
      <c r="R35" s="6"/>
      <c r="S35" s="6"/>
    </row>
    <row r="36" spans="1:19">
      <c r="A36" s="8">
        <f t="shared" si="0"/>
        <v>25</v>
      </c>
      <c r="B36" s="212">
        <v>8052</v>
      </c>
      <c r="C36" s="5" t="s">
        <v>263</v>
      </c>
      <c r="D36" s="215">
        <v>3677985.7</v>
      </c>
      <c r="E36" s="215">
        <v>2844532.57</v>
      </c>
      <c r="F36" s="215">
        <v>2136550.7599999998</v>
      </c>
      <c r="G36" s="215">
        <v>1547231.7</v>
      </c>
      <c r="H36" s="215">
        <v>990664.23</v>
      </c>
      <c r="I36" s="215">
        <v>790859.4</v>
      </c>
      <c r="J36" s="116">
        <v>778887.37364428886</v>
      </c>
      <c r="K36" s="116">
        <v>815142.92978745466</v>
      </c>
      <c r="L36" s="116">
        <v>827696.88980517967</v>
      </c>
      <c r="M36" s="116">
        <v>1149289.9035971572</v>
      </c>
      <c r="N36" s="116">
        <v>1306034.282669575</v>
      </c>
      <c r="O36" s="116">
        <v>2457259.8324604626</v>
      </c>
      <c r="P36" s="5">
        <f t="shared" si="1"/>
        <v>19322135.571964119</v>
      </c>
      <c r="Q36" s="6"/>
      <c r="R36" s="6"/>
      <c r="S36" s="6"/>
    </row>
    <row r="37" spans="1:19">
      <c r="A37" s="8">
        <f t="shared" si="0"/>
        <v>26</v>
      </c>
      <c r="B37" s="212">
        <v>8053</v>
      </c>
      <c r="C37" s="5" t="s">
        <v>264</v>
      </c>
      <c r="D37" s="215">
        <v>672134.52</v>
      </c>
      <c r="E37" s="215">
        <v>664048.25</v>
      </c>
      <c r="F37" s="215">
        <v>769253.16</v>
      </c>
      <c r="G37" s="215">
        <v>453327.3</v>
      </c>
      <c r="H37" s="215">
        <v>452238.11</v>
      </c>
      <c r="I37" s="215">
        <v>558552.21</v>
      </c>
      <c r="J37" s="116">
        <v>287356.30665835651</v>
      </c>
      <c r="K37" s="116">
        <v>242254.3339164457</v>
      </c>
      <c r="L37" s="116">
        <v>235833.37393340367</v>
      </c>
      <c r="M37" s="116">
        <v>208565.30531345346</v>
      </c>
      <c r="N37" s="116" t="s">
        <v>244</v>
      </c>
      <c r="O37" s="116">
        <v>370839.47033853474</v>
      </c>
      <c r="P37" s="5">
        <f t="shared" si="1"/>
        <v>4914402.3401601929</v>
      </c>
      <c r="Q37" s="6"/>
      <c r="R37" s="6"/>
      <c r="S37" s="6"/>
    </row>
    <row r="38" spans="1:19">
      <c r="A38" s="8">
        <f t="shared" si="0"/>
        <v>27</v>
      </c>
      <c r="B38" s="212">
        <v>8054</v>
      </c>
      <c r="C38" s="5" t="s">
        <v>265</v>
      </c>
      <c r="D38" s="215">
        <v>701686</v>
      </c>
      <c r="E38" s="215">
        <v>553678.14</v>
      </c>
      <c r="F38" s="215">
        <v>435084.35</v>
      </c>
      <c r="G38" s="215">
        <v>330096.84999999998</v>
      </c>
      <c r="H38" s="215">
        <v>195997.58</v>
      </c>
      <c r="I38" s="215">
        <v>141164.19</v>
      </c>
      <c r="J38" s="116">
        <v>107804.58414565001</v>
      </c>
      <c r="K38" s="116">
        <v>130174.56072436896</v>
      </c>
      <c r="L38" s="116">
        <v>144256.09300231113</v>
      </c>
      <c r="M38" s="116">
        <v>164350.5690651749</v>
      </c>
      <c r="N38" s="116">
        <v>304318.11912879744</v>
      </c>
      <c r="O38" s="116">
        <v>511471.40798067587</v>
      </c>
      <c r="P38" s="5">
        <f t="shared" si="1"/>
        <v>3720082.4440469779</v>
      </c>
      <c r="Q38" s="6"/>
      <c r="S38" s="6"/>
    </row>
    <row r="39" spans="1:19">
      <c r="A39" s="8">
        <f t="shared" si="0"/>
        <v>28</v>
      </c>
      <c r="B39" s="212">
        <v>8058</v>
      </c>
      <c r="C39" s="5" t="s">
        <v>266</v>
      </c>
      <c r="D39" s="215">
        <v>323890.83999999997</v>
      </c>
      <c r="E39" s="215">
        <v>-1619982.6400000001</v>
      </c>
      <c r="F39" s="215">
        <v>-833283.85</v>
      </c>
      <c r="G39" s="215">
        <v>-1158007.55</v>
      </c>
      <c r="H39" s="215">
        <v>-390751.61</v>
      </c>
      <c r="I39" s="215">
        <v>-478919.64</v>
      </c>
      <c r="J39" s="116">
        <v>69058.398280472044</v>
      </c>
      <c r="K39" s="116">
        <v>-57345.390411293862</v>
      </c>
      <c r="L39" s="116">
        <v>-808.4918761433571</v>
      </c>
      <c r="M39" s="116">
        <v>613559.63747668895</v>
      </c>
      <c r="N39" s="116">
        <v>2209350.3290974549</v>
      </c>
      <c r="O39" s="116">
        <v>2384955.0280997846</v>
      </c>
      <c r="P39" s="5">
        <f t="shared" si="1"/>
        <v>1061715.060666963</v>
      </c>
      <c r="Q39" s="6"/>
      <c r="R39" s="6"/>
      <c r="S39" s="6"/>
    </row>
    <row r="40" spans="1:19">
      <c r="A40" s="8">
        <f t="shared" si="0"/>
        <v>29</v>
      </c>
      <c r="B40" s="212">
        <v>8059</v>
      </c>
      <c r="C40" s="5" t="s">
        <v>267</v>
      </c>
      <c r="D40" s="215">
        <v>-11327380.869999999</v>
      </c>
      <c r="E40" s="215">
        <v>-12335696.460000001</v>
      </c>
      <c r="F40" s="215">
        <v>-8878999.3000000007</v>
      </c>
      <c r="G40" s="215">
        <v>-7684524.04</v>
      </c>
      <c r="H40" s="215">
        <v>-4221491.87</v>
      </c>
      <c r="I40" s="215">
        <v>-3604184.26</v>
      </c>
      <c r="J40" s="116">
        <v>-2987147.7008865927</v>
      </c>
      <c r="K40" s="116">
        <v>-4898780.2574197398</v>
      </c>
      <c r="L40" s="116">
        <v>-3004681.4204560411</v>
      </c>
      <c r="M40" s="116">
        <v>-3823107.2573615815</v>
      </c>
      <c r="N40" s="116">
        <v>-5832415.614152371</v>
      </c>
      <c r="O40" s="116">
        <v>-6132258.7214599643</v>
      </c>
      <c r="P40" s="5">
        <f t="shared" si="1"/>
        <v>-74730667.771736294</v>
      </c>
      <c r="Q40" s="6"/>
      <c r="R40" s="6"/>
      <c r="S40" s="6"/>
    </row>
    <row r="41" spans="1:19">
      <c r="A41" s="8">
        <f t="shared" si="0"/>
        <v>30</v>
      </c>
      <c r="B41" s="212">
        <v>8060</v>
      </c>
      <c r="C41" s="5" t="s">
        <v>268</v>
      </c>
      <c r="D41" s="215">
        <v>994734.2</v>
      </c>
      <c r="E41" s="215">
        <v>3043458.35</v>
      </c>
      <c r="F41" s="215">
        <v>3568544.23</v>
      </c>
      <c r="G41" s="215">
        <v>2130910.9</v>
      </c>
      <c r="H41" s="215">
        <v>-1903716.98</v>
      </c>
      <c r="I41" s="215">
        <v>-551572.89</v>
      </c>
      <c r="J41" s="116">
        <v>-1322054.5588191811</v>
      </c>
      <c r="K41" s="116">
        <v>-606580.58174988464</v>
      </c>
      <c r="L41" s="116">
        <v>-1597141.0412555649</v>
      </c>
      <c r="M41" s="116">
        <v>-1628393.0968163328</v>
      </c>
      <c r="N41" s="116">
        <v>-1753459.9323563059</v>
      </c>
      <c r="O41" s="116">
        <v>1497388.8946588605</v>
      </c>
      <c r="P41" s="5">
        <f t="shared" si="1"/>
        <v>1872117.4936615911</v>
      </c>
      <c r="Q41" s="6"/>
      <c r="R41" s="6"/>
      <c r="S41" s="6"/>
    </row>
    <row r="42" spans="1:19">
      <c r="A42" s="8">
        <f t="shared" si="0"/>
        <v>31</v>
      </c>
      <c r="B42" s="212">
        <v>8081</v>
      </c>
      <c r="C42" s="5" t="s">
        <v>269</v>
      </c>
      <c r="D42" s="215">
        <v>2255744.84</v>
      </c>
      <c r="E42" s="215">
        <v>2376725.7999999998</v>
      </c>
      <c r="F42" s="215">
        <v>2699947.65</v>
      </c>
      <c r="G42" s="215">
        <v>2442279.3199999998</v>
      </c>
      <c r="H42" s="215">
        <v>9857.76</v>
      </c>
      <c r="I42" s="215">
        <v>10008.9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1068365.5241918706</v>
      </c>
      <c r="P42" s="5">
        <f t="shared" si="1"/>
        <v>10862929.794191871</v>
      </c>
      <c r="Q42" s="6"/>
      <c r="R42" s="6"/>
      <c r="S42" s="6"/>
    </row>
    <row r="43" spans="1:19">
      <c r="A43" s="8">
        <f t="shared" si="0"/>
        <v>32</v>
      </c>
      <c r="B43" s="212">
        <v>8082</v>
      </c>
      <c r="C43" s="5" t="s">
        <v>270</v>
      </c>
      <c r="D43" s="215">
        <v>-22774.57</v>
      </c>
      <c r="E43" s="215">
        <v>-5573.91</v>
      </c>
      <c r="F43" s="215">
        <v>-10704.99</v>
      </c>
      <c r="G43" s="215">
        <v>-98792.27</v>
      </c>
      <c r="H43" s="215">
        <v>-1863094.7</v>
      </c>
      <c r="I43" s="215">
        <v>-1635911.13</v>
      </c>
      <c r="J43" s="116">
        <v>-1848189.9873530758</v>
      </c>
      <c r="K43" s="116">
        <v>-3003139.3513166173</v>
      </c>
      <c r="L43" s="116">
        <v>-2164047.8974960581</v>
      </c>
      <c r="M43" s="116">
        <v>-2727391.4947982277</v>
      </c>
      <c r="N43" s="116">
        <v>-3806302.610961399</v>
      </c>
      <c r="O43" s="116">
        <v>-2029.249515507069</v>
      </c>
      <c r="P43" s="5">
        <f t="shared" si="1"/>
        <v>-17187952.161440887</v>
      </c>
      <c r="Q43" s="219"/>
      <c r="S43" s="6"/>
    </row>
    <row r="44" spans="1:19">
      <c r="A44" s="8">
        <f t="shared" si="0"/>
        <v>33</v>
      </c>
      <c r="B44" s="212">
        <v>8120</v>
      </c>
      <c r="C44" s="5" t="s">
        <v>271</v>
      </c>
      <c r="D44" s="215">
        <v>-5262.99</v>
      </c>
      <c r="E44" s="215">
        <v>-1034.33</v>
      </c>
      <c r="F44" s="215">
        <v>1052.7700000000004</v>
      </c>
      <c r="G44" s="215">
        <v>-2337.79</v>
      </c>
      <c r="H44" s="215">
        <v>-107.31999999999971</v>
      </c>
      <c r="I44" s="215">
        <v>-1519.73</v>
      </c>
      <c r="J44" s="116">
        <v>1190.8345312262113</v>
      </c>
      <c r="K44" s="116">
        <v>-2343.881289582002</v>
      </c>
      <c r="L44" s="116">
        <v>754.75339777356851</v>
      </c>
      <c r="M44" s="116">
        <v>94.752383135497539</v>
      </c>
      <c r="N44" s="116">
        <v>-1990.026543318786</v>
      </c>
      <c r="O44" s="116">
        <v>-8701.6388034433439</v>
      </c>
      <c r="P44" s="5">
        <f t="shared" si="1"/>
        <v>-20204.596324208855</v>
      </c>
      <c r="Q44" s="6"/>
      <c r="R44" s="6"/>
      <c r="S44" s="6"/>
    </row>
    <row r="45" spans="1:19">
      <c r="A45" s="8">
        <f>A44+1</f>
        <v>34</v>
      </c>
      <c r="B45" s="212">
        <v>8580</v>
      </c>
      <c r="C45" s="213" t="s">
        <v>272</v>
      </c>
      <c r="D45" s="215">
        <v>2499584.8600000003</v>
      </c>
      <c r="E45" s="215">
        <v>2564753.77</v>
      </c>
      <c r="F45" s="215">
        <v>2280622.62</v>
      </c>
      <c r="G45" s="215">
        <v>2438250.5500000003</v>
      </c>
      <c r="H45" s="215">
        <v>2050639.5699999998</v>
      </c>
      <c r="I45" s="215">
        <v>1662627.06</v>
      </c>
      <c r="J45" s="116">
        <v>2009809.0189122006</v>
      </c>
      <c r="K45" s="116">
        <v>2290799.2310049399</v>
      </c>
      <c r="L45" s="116">
        <v>1825658.0318428644</v>
      </c>
      <c r="M45" s="116">
        <v>2131691.8589931885</v>
      </c>
      <c r="N45" s="116">
        <v>3210936.0534267556</v>
      </c>
      <c r="O45" s="116">
        <v>2297570.5453369063</v>
      </c>
      <c r="P45" s="5">
        <f t="shared" si="1"/>
        <v>27262943.169516858</v>
      </c>
      <c r="Q45" s="79"/>
      <c r="R45" s="6"/>
      <c r="S45" s="6"/>
    </row>
    <row r="46" spans="1:19" ht="22.5" customHeight="1">
      <c r="A46" s="8">
        <f t="shared" si="0"/>
        <v>35</v>
      </c>
      <c r="B46" s="212">
        <v>8140</v>
      </c>
      <c r="C46" s="5" t="s">
        <v>273</v>
      </c>
      <c r="D46" s="215">
        <f>0</f>
        <v>0</v>
      </c>
      <c r="E46" s="215">
        <f>0</f>
        <v>0</v>
      </c>
      <c r="F46" s="215">
        <f>0</f>
        <v>0</v>
      </c>
      <c r="G46" s="215">
        <f>0</f>
        <v>0</v>
      </c>
      <c r="H46" s="215">
        <f>0</f>
        <v>0</v>
      </c>
      <c r="I46" s="215">
        <f>0</f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5">
        <f t="shared" si="1"/>
        <v>0</v>
      </c>
      <c r="S46" s="6"/>
    </row>
    <row r="47" spans="1:19" ht="21.75" customHeight="1">
      <c r="A47" s="8">
        <f t="shared" si="0"/>
        <v>36</v>
      </c>
      <c r="B47" s="212">
        <v>8160</v>
      </c>
      <c r="C47" s="5" t="s">
        <v>274</v>
      </c>
      <c r="D47" s="215">
        <v>20628.030000000002</v>
      </c>
      <c r="E47" s="215">
        <v>30051.77</v>
      </c>
      <c r="F47" s="215">
        <v>6702.43</v>
      </c>
      <c r="G47" s="215">
        <v>9489.93</v>
      </c>
      <c r="H47" s="215">
        <v>2729.3599999999997</v>
      </c>
      <c r="I47" s="215">
        <v>1518.5900000000001</v>
      </c>
      <c r="J47" s="134">
        <v>9671.7813669524949</v>
      </c>
      <c r="K47" s="134">
        <v>9763.543576804359</v>
      </c>
      <c r="L47" s="134">
        <v>9609.3245665296035</v>
      </c>
      <c r="M47" s="134">
        <v>10150.145738203113</v>
      </c>
      <c r="N47" s="134">
        <v>10595.12605178217</v>
      </c>
      <c r="O47" s="134">
        <v>8060.2733299157171</v>
      </c>
      <c r="P47" s="5">
        <f t="shared" si="1"/>
        <v>128970.30463018743</v>
      </c>
      <c r="Q47" s="6"/>
      <c r="R47" s="6"/>
      <c r="S47" s="6"/>
    </row>
    <row r="48" spans="1:19">
      <c r="A48" s="8">
        <f t="shared" si="0"/>
        <v>37</v>
      </c>
      <c r="B48" s="212">
        <v>8170</v>
      </c>
      <c r="C48" s="5" t="s">
        <v>275</v>
      </c>
      <c r="D48" s="215">
        <v>4629.92</v>
      </c>
      <c r="E48" s="215">
        <v>4715.18</v>
      </c>
      <c r="F48" s="215">
        <v>4104.7000000000007</v>
      </c>
      <c r="G48" s="215">
        <v>2532.96</v>
      </c>
      <c r="H48" s="215">
        <v>1936.4099999999999</v>
      </c>
      <c r="I48" s="215">
        <v>-163.76999999999998</v>
      </c>
      <c r="J48" s="134">
        <v>2841.9244989688564</v>
      </c>
      <c r="K48" s="134">
        <v>3046.2891028107178</v>
      </c>
      <c r="L48" s="134">
        <v>2793.998226998081</v>
      </c>
      <c r="M48" s="134">
        <v>2879.5723005346754</v>
      </c>
      <c r="N48" s="134">
        <v>2904.1146331025616</v>
      </c>
      <c r="O48" s="134">
        <v>2791.1563465820577</v>
      </c>
      <c r="P48" s="5">
        <f t="shared" si="1"/>
        <v>35012.455108996946</v>
      </c>
      <c r="Q48" s="6"/>
      <c r="R48" s="6"/>
      <c r="S48" s="6"/>
    </row>
    <row r="49" spans="1:22">
      <c r="A49" s="8">
        <f t="shared" si="0"/>
        <v>38</v>
      </c>
      <c r="B49" s="212">
        <v>8180</v>
      </c>
      <c r="C49" s="5" t="s">
        <v>276</v>
      </c>
      <c r="D49" s="215">
        <v>4238.1900000000005</v>
      </c>
      <c r="E49" s="215">
        <v>2653.4</v>
      </c>
      <c r="F49" s="215">
        <v>292.36000000000007</v>
      </c>
      <c r="G49" s="215">
        <v>2998.1400000000003</v>
      </c>
      <c r="H49" s="215">
        <v>3432.8</v>
      </c>
      <c r="I49" s="215">
        <v>3947.33</v>
      </c>
      <c r="J49" s="134">
        <v>3291.2704196566906</v>
      </c>
      <c r="K49" s="134">
        <v>3256.7103922503102</v>
      </c>
      <c r="L49" s="134">
        <v>2812.7271368951911</v>
      </c>
      <c r="M49" s="134">
        <v>2494.9729850621493</v>
      </c>
      <c r="N49" s="134">
        <v>2647.7180185446978</v>
      </c>
      <c r="O49" s="134">
        <v>2772.2428559808468</v>
      </c>
      <c r="P49" s="5">
        <f t="shared" si="1"/>
        <v>34837.861808389884</v>
      </c>
      <c r="Q49" s="6"/>
      <c r="R49" s="6"/>
      <c r="S49" s="6"/>
    </row>
    <row r="50" spans="1:22" ht="15.75">
      <c r="A50" s="8">
        <f t="shared" si="0"/>
        <v>39</v>
      </c>
      <c r="B50" s="212">
        <v>8190</v>
      </c>
      <c r="C50" s="5" t="s">
        <v>277</v>
      </c>
      <c r="D50" s="215">
        <v>104.25</v>
      </c>
      <c r="E50" s="215">
        <v>111.93</v>
      </c>
      <c r="F50" s="215">
        <v>109.46</v>
      </c>
      <c r="G50" s="215">
        <v>0</v>
      </c>
      <c r="H50" s="215">
        <v>214.73</v>
      </c>
      <c r="I50" s="215">
        <v>67.94</v>
      </c>
      <c r="J50" s="134">
        <v>89.868705637670388</v>
      </c>
      <c r="K50" s="134">
        <v>90.182494955090178</v>
      </c>
      <c r="L50" s="134">
        <v>85.589863025237335</v>
      </c>
      <c r="M50" s="134">
        <v>81.086603650364225</v>
      </c>
      <c r="N50" s="134">
        <v>89.470308005517069</v>
      </c>
      <c r="O50" s="134">
        <v>78.107518484372804</v>
      </c>
      <c r="P50" s="5">
        <f t="shared" si="1"/>
        <v>1122.6154937582521</v>
      </c>
      <c r="Q50" s="6"/>
      <c r="R50" s="220"/>
      <c r="S50" s="221"/>
    </row>
    <row r="51" spans="1:22" ht="15.75">
      <c r="A51" s="8">
        <f t="shared" si="0"/>
        <v>40</v>
      </c>
      <c r="B51" s="212">
        <v>8200</v>
      </c>
      <c r="C51" s="5" t="s">
        <v>278</v>
      </c>
      <c r="D51" s="215">
        <v>700.76</v>
      </c>
      <c r="E51" s="215">
        <v>-61.53</v>
      </c>
      <c r="F51" s="215">
        <v>540.61</v>
      </c>
      <c r="G51" s="215">
        <v>138.97</v>
      </c>
      <c r="H51" s="215">
        <v>506.53999999999996</v>
      </c>
      <c r="I51" s="215">
        <v>93.31</v>
      </c>
      <c r="J51" s="134">
        <v>293.96227574740681</v>
      </c>
      <c r="K51" s="134">
        <v>306.87743118776086</v>
      </c>
      <c r="L51" s="134">
        <v>286.46426553959498</v>
      </c>
      <c r="M51" s="134">
        <v>286.07699892722206</v>
      </c>
      <c r="N51" s="134">
        <v>299.58235542102443</v>
      </c>
      <c r="O51" s="134">
        <v>275.1612545921534</v>
      </c>
      <c r="P51" s="5">
        <f t="shared" si="1"/>
        <v>3666.7845814151633</v>
      </c>
      <c r="Q51" s="6"/>
      <c r="R51" s="222"/>
      <c r="S51" s="223"/>
    </row>
    <row r="52" spans="1:22">
      <c r="A52" s="8">
        <f t="shared" si="0"/>
        <v>41</v>
      </c>
      <c r="B52" s="212">
        <v>8210</v>
      </c>
      <c r="C52" s="5" t="s">
        <v>279</v>
      </c>
      <c r="D52" s="215">
        <v>6912.96</v>
      </c>
      <c r="E52" s="215">
        <v>1672.1000000000001</v>
      </c>
      <c r="F52" s="215">
        <v>1079.7099999999996</v>
      </c>
      <c r="G52" s="215">
        <v>1727.2300000000002</v>
      </c>
      <c r="H52" s="215">
        <v>1413.6599999999999</v>
      </c>
      <c r="I52" s="215">
        <v>156.72999999999999</v>
      </c>
      <c r="J52" s="134">
        <v>2443.8229845776609</v>
      </c>
      <c r="K52" s="134">
        <v>2399.2353896893528</v>
      </c>
      <c r="L52" s="134">
        <v>2067.4297806043596</v>
      </c>
      <c r="M52" s="134">
        <v>1800.5113810344171</v>
      </c>
      <c r="N52" s="134">
        <v>1931.3253916695476</v>
      </c>
      <c r="O52" s="134">
        <v>2030.09638683244</v>
      </c>
      <c r="P52" s="5">
        <f t="shared" si="1"/>
        <v>25634.811314407776</v>
      </c>
      <c r="Q52" s="6"/>
      <c r="R52" s="224"/>
      <c r="S52" s="6"/>
    </row>
    <row r="53" spans="1:22">
      <c r="A53" s="8">
        <f t="shared" si="0"/>
        <v>42</v>
      </c>
      <c r="B53" s="212">
        <v>8240</v>
      </c>
      <c r="C53" s="5" t="s">
        <v>280</v>
      </c>
      <c r="D53" s="215">
        <f>0</f>
        <v>0</v>
      </c>
      <c r="E53" s="215">
        <f>0</f>
        <v>0</v>
      </c>
      <c r="F53" s="215">
        <f>0</f>
        <v>0</v>
      </c>
      <c r="G53" s="215">
        <f>0</f>
        <v>0</v>
      </c>
      <c r="H53" s="215">
        <f>0</f>
        <v>0</v>
      </c>
      <c r="I53" s="215">
        <f>0</f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5">
        <f t="shared" si="1"/>
        <v>0</v>
      </c>
      <c r="Q53" s="6"/>
      <c r="R53" s="224"/>
      <c r="S53" s="6"/>
    </row>
    <row r="54" spans="1:22">
      <c r="A54" s="8">
        <f t="shared" si="0"/>
        <v>43</v>
      </c>
      <c r="B54" s="212">
        <v>8250</v>
      </c>
      <c r="C54" s="5" t="s">
        <v>281</v>
      </c>
      <c r="D54" s="215">
        <v>1749.6399999999999</v>
      </c>
      <c r="E54" s="215">
        <v>1281.54</v>
      </c>
      <c r="F54" s="215">
        <v>1435.3400000000001</v>
      </c>
      <c r="G54" s="215">
        <v>609.9</v>
      </c>
      <c r="H54" s="215">
        <v>379.66</v>
      </c>
      <c r="I54" s="215">
        <v>206.07</v>
      </c>
      <c r="J54" s="134">
        <v>1881.4284385514072</v>
      </c>
      <c r="K54" s="134">
        <v>1884.073928397155</v>
      </c>
      <c r="L54" s="134">
        <v>1845.3544422285761</v>
      </c>
      <c r="M54" s="134">
        <v>735.13148750329526</v>
      </c>
      <c r="N54" s="134">
        <v>802.2083264115987</v>
      </c>
      <c r="O54" s="134">
        <v>687.8857628995014</v>
      </c>
      <c r="P54" s="5">
        <f t="shared" si="1"/>
        <v>13498.232385991532</v>
      </c>
      <c r="Q54" s="6"/>
      <c r="R54" s="6"/>
      <c r="S54" s="6"/>
    </row>
    <row r="55" spans="1:22">
      <c r="A55" s="8">
        <f t="shared" si="0"/>
        <v>44</v>
      </c>
      <c r="B55" s="212">
        <v>8310</v>
      </c>
      <c r="C55" s="5" t="s">
        <v>282</v>
      </c>
      <c r="D55" s="215">
        <v>420.89</v>
      </c>
      <c r="E55" s="215">
        <v>965.79</v>
      </c>
      <c r="F55" s="215">
        <v>435.61</v>
      </c>
      <c r="G55" s="215">
        <v>1452.3</v>
      </c>
      <c r="H55" s="215">
        <v>2170</v>
      </c>
      <c r="I55" s="215">
        <v>3133</v>
      </c>
      <c r="J55" s="134">
        <v>1141.8190282576998</v>
      </c>
      <c r="K55" s="134">
        <v>1105.8915144422879</v>
      </c>
      <c r="L55" s="134">
        <v>1103.2609469001286</v>
      </c>
      <c r="M55" s="134">
        <v>1140.3643301151235</v>
      </c>
      <c r="N55" s="134">
        <v>1219.4740544896608</v>
      </c>
      <c r="O55" s="134">
        <v>856.56271797912723</v>
      </c>
      <c r="P55" s="5">
        <f t="shared" si="1"/>
        <v>15144.962592184031</v>
      </c>
      <c r="Q55" s="6"/>
      <c r="R55" s="224"/>
      <c r="S55" s="6"/>
    </row>
    <row r="56" spans="1:22">
      <c r="A56" s="8">
        <f t="shared" si="0"/>
        <v>45</v>
      </c>
      <c r="B56" s="212">
        <v>8340</v>
      </c>
      <c r="C56" s="5" t="s">
        <v>283</v>
      </c>
      <c r="D56" s="215">
        <v>157.15</v>
      </c>
      <c r="E56" s="215">
        <v>6645.0599999999995</v>
      </c>
      <c r="F56" s="215">
        <v>-629.18999999999994</v>
      </c>
      <c r="G56" s="215">
        <v>0</v>
      </c>
      <c r="H56" s="215">
        <v>15.61</v>
      </c>
      <c r="I56" s="215">
        <v>0</v>
      </c>
      <c r="J56" s="134">
        <v>877.0227389493507</v>
      </c>
      <c r="K56" s="134">
        <v>869.14968495628125</v>
      </c>
      <c r="L56" s="134">
        <v>841.14001527598737</v>
      </c>
      <c r="M56" s="134">
        <v>859.27148675933927</v>
      </c>
      <c r="N56" s="134">
        <v>907.05664057036142</v>
      </c>
      <c r="O56" s="134">
        <v>705.51423786264218</v>
      </c>
      <c r="P56" s="5">
        <f t="shared" si="1"/>
        <v>11247.78480437396</v>
      </c>
      <c r="Q56" s="6"/>
      <c r="R56" s="224"/>
      <c r="S56" s="6"/>
    </row>
    <row r="57" spans="1:22">
      <c r="A57" s="8">
        <f t="shared" si="0"/>
        <v>46</v>
      </c>
      <c r="B57" s="212">
        <v>8350</v>
      </c>
      <c r="C57" s="5" t="s">
        <v>284</v>
      </c>
      <c r="D57" s="215">
        <f>0</f>
        <v>0</v>
      </c>
      <c r="E57" s="215">
        <f>0</f>
        <v>0</v>
      </c>
      <c r="F57" s="215">
        <f>0</f>
        <v>0</v>
      </c>
      <c r="G57" s="215">
        <f>0</f>
        <v>0</v>
      </c>
      <c r="H57" s="215">
        <f>0</f>
        <v>0</v>
      </c>
      <c r="I57" s="215">
        <f>0</f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5">
        <f t="shared" si="1"/>
        <v>0</v>
      </c>
      <c r="Q57" s="6"/>
      <c r="R57" s="224"/>
      <c r="S57" s="6"/>
    </row>
    <row r="58" spans="1:22">
      <c r="A58" s="8">
        <f t="shared" si="0"/>
        <v>47</v>
      </c>
      <c r="B58" s="212">
        <v>8360</v>
      </c>
      <c r="C58" s="5" t="s">
        <v>285</v>
      </c>
      <c r="D58" s="215">
        <f>0</f>
        <v>0</v>
      </c>
      <c r="E58" s="215">
        <f>0</f>
        <v>0</v>
      </c>
      <c r="F58" s="215">
        <f>0</f>
        <v>0</v>
      </c>
      <c r="G58" s="215">
        <f>0</f>
        <v>0</v>
      </c>
      <c r="H58" s="215">
        <f>0</f>
        <v>0</v>
      </c>
      <c r="I58" s="215">
        <f>0</f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5">
        <f t="shared" si="1"/>
        <v>0</v>
      </c>
      <c r="Q58" s="6"/>
      <c r="R58" s="224"/>
      <c r="S58" s="6"/>
    </row>
    <row r="59" spans="1:22">
      <c r="A59" s="8">
        <f t="shared" si="0"/>
        <v>48</v>
      </c>
      <c r="B59" s="212">
        <v>8370</v>
      </c>
      <c r="C59" s="5" t="s">
        <v>126</v>
      </c>
      <c r="D59" s="215">
        <f>0</f>
        <v>0</v>
      </c>
      <c r="E59" s="215">
        <f>0</f>
        <v>0</v>
      </c>
      <c r="F59" s="215">
        <f>0</f>
        <v>0</v>
      </c>
      <c r="G59" s="215">
        <f>0</f>
        <v>0</v>
      </c>
      <c r="H59" s="215">
        <f>0</f>
        <v>0</v>
      </c>
      <c r="I59" s="215">
        <f>0</f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5">
        <f t="shared" si="1"/>
        <v>0</v>
      </c>
      <c r="Q59" s="6"/>
      <c r="R59" s="224"/>
      <c r="S59" s="6"/>
    </row>
    <row r="60" spans="1:22">
      <c r="A60" s="8">
        <f t="shared" si="0"/>
        <v>49</v>
      </c>
      <c r="B60" s="212">
        <v>8410</v>
      </c>
      <c r="C60" s="5" t="s">
        <v>286</v>
      </c>
      <c r="D60" s="215">
        <v>17878.14</v>
      </c>
      <c r="E60" s="215">
        <v>2111.9299999999994</v>
      </c>
      <c r="F60" s="215">
        <v>9048.65</v>
      </c>
      <c r="G60" s="215">
        <v>11668.31</v>
      </c>
      <c r="H60" s="215">
        <v>15076.6</v>
      </c>
      <c r="I60" s="215">
        <v>13540.470000000003</v>
      </c>
      <c r="J60" s="134">
        <v>10403.282875946818</v>
      </c>
      <c r="K60" s="134">
        <v>11260.389005650039</v>
      </c>
      <c r="L60" s="134">
        <v>10370.123186662684</v>
      </c>
      <c r="M60" s="134">
        <v>10846.749111590068</v>
      </c>
      <c r="N60" s="134">
        <v>10844.468475280901</v>
      </c>
      <c r="O60" s="134">
        <v>10423.831808760155</v>
      </c>
      <c r="P60" s="5">
        <f t="shared" si="1"/>
        <v>133472.94446389066</v>
      </c>
      <c r="Q60" s="6"/>
      <c r="R60" s="6"/>
      <c r="S60" s="6"/>
    </row>
    <row r="61" spans="1:22">
      <c r="A61" s="8">
        <f t="shared" si="0"/>
        <v>50</v>
      </c>
      <c r="B61" s="212">
        <v>8520</v>
      </c>
      <c r="C61" s="5" t="s">
        <v>131</v>
      </c>
      <c r="D61" s="215">
        <f>0</f>
        <v>0</v>
      </c>
      <c r="E61" s="215">
        <f>0</f>
        <v>0</v>
      </c>
      <c r="F61" s="215">
        <f>0</f>
        <v>0</v>
      </c>
      <c r="G61" s="215">
        <f>0</f>
        <v>0</v>
      </c>
      <c r="H61" s="215">
        <f>0</f>
        <v>0</v>
      </c>
      <c r="I61" s="215">
        <f>0</f>
        <v>0</v>
      </c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5">
        <f t="shared" si="1"/>
        <v>0</v>
      </c>
      <c r="Q61" s="6"/>
      <c r="R61" s="6"/>
      <c r="S61" s="6"/>
      <c r="U61" s="216"/>
      <c r="V61" s="9"/>
    </row>
    <row r="62" spans="1:22">
      <c r="A62" s="8">
        <f t="shared" si="0"/>
        <v>51</v>
      </c>
      <c r="B62" s="212">
        <v>8550</v>
      </c>
      <c r="C62" s="5" t="s">
        <v>287</v>
      </c>
      <c r="D62" s="215">
        <v>31.3</v>
      </c>
      <c r="E62" s="215">
        <v>30.74</v>
      </c>
      <c r="F62" s="215">
        <v>30.4</v>
      </c>
      <c r="G62" s="215">
        <v>29.65</v>
      </c>
      <c r="H62" s="215">
        <v>29.54</v>
      </c>
      <c r="I62" s="215">
        <v>28.29</v>
      </c>
      <c r="J62" s="134">
        <v>26.580489418766184</v>
      </c>
      <c r="K62" s="134">
        <v>26.673298963225697</v>
      </c>
      <c r="L62" s="134">
        <v>25.314935075045124</v>
      </c>
      <c r="M62" s="134">
        <v>23.983004929679819</v>
      </c>
      <c r="N62" s="134">
        <v>26.462655252013988</v>
      </c>
      <c r="O62" s="134">
        <v>23.101880169170904</v>
      </c>
      <c r="P62" s="5">
        <f t="shared" si="1"/>
        <v>332.03626380790166</v>
      </c>
      <c r="Q62" s="6"/>
      <c r="R62" s="6"/>
      <c r="S62" s="6"/>
      <c r="U62" s="216"/>
      <c r="V62" s="9"/>
    </row>
    <row r="63" spans="1:22">
      <c r="A63" s="8">
        <f t="shared" si="0"/>
        <v>52</v>
      </c>
      <c r="B63" s="212">
        <v>8560</v>
      </c>
      <c r="C63" s="5" t="s">
        <v>288</v>
      </c>
      <c r="D63" s="215">
        <v>9552.4699999999993</v>
      </c>
      <c r="E63" s="215">
        <v>31996.649999999998</v>
      </c>
      <c r="F63" s="215">
        <v>28224.389999999992</v>
      </c>
      <c r="G63" s="215">
        <v>15085.860000000002</v>
      </c>
      <c r="H63" s="215">
        <v>22350.339999999997</v>
      </c>
      <c r="I63" s="215">
        <v>21291.460000000003</v>
      </c>
      <c r="J63" s="134">
        <v>21247.150268761423</v>
      </c>
      <c r="K63" s="134">
        <v>22066.68254673035</v>
      </c>
      <c r="L63" s="134">
        <v>20182.413363912099</v>
      </c>
      <c r="M63" s="134">
        <v>20148.169003777126</v>
      </c>
      <c r="N63" s="134">
        <v>20531.333496188487</v>
      </c>
      <c r="O63" s="134">
        <v>19962.592915658344</v>
      </c>
      <c r="P63" s="5">
        <f t="shared" si="1"/>
        <v>252639.51159502778</v>
      </c>
      <c r="Q63" s="6"/>
      <c r="R63" s="224"/>
      <c r="S63" s="6"/>
    </row>
    <row r="64" spans="1:22">
      <c r="A64" s="8">
        <f t="shared" si="0"/>
        <v>53</v>
      </c>
      <c r="B64" s="212">
        <v>8570</v>
      </c>
      <c r="C64" s="5" t="s">
        <v>289</v>
      </c>
      <c r="D64" s="215">
        <v>842.1</v>
      </c>
      <c r="E64" s="215">
        <v>707.12000000000012</v>
      </c>
      <c r="F64" s="215">
        <v>867.69999999999993</v>
      </c>
      <c r="G64" s="215">
        <v>931.88</v>
      </c>
      <c r="H64" s="215">
        <v>1815.2399999999998</v>
      </c>
      <c r="I64" s="215">
        <v>915.41</v>
      </c>
      <c r="J64" s="134">
        <v>998.19260327522102</v>
      </c>
      <c r="K64" s="134">
        <v>1002.1792306301695</v>
      </c>
      <c r="L64" s="134">
        <v>910.86134278845486</v>
      </c>
      <c r="M64" s="134">
        <v>847.44734725161572</v>
      </c>
      <c r="N64" s="134">
        <v>912.51574919325446</v>
      </c>
      <c r="O64" s="134">
        <v>867.22331951837737</v>
      </c>
      <c r="P64" s="5">
        <f t="shared" si="1"/>
        <v>11617.869592657094</v>
      </c>
      <c r="Q64" s="6"/>
      <c r="R64" s="6"/>
      <c r="S64" s="6"/>
    </row>
    <row r="65" spans="1:19">
      <c r="A65" s="8">
        <f>A64+1</f>
        <v>54</v>
      </c>
      <c r="B65" s="212">
        <v>8630</v>
      </c>
      <c r="C65" s="5" t="s">
        <v>290</v>
      </c>
      <c r="D65" s="215">
        <v>-676.01</v>
      </c>
      <c r="E65" s="215">
        <v>0</v>
      </c>
      <c r="F65" s="215">
        <v>0</v>
      </c>
      <c r="G65" s="215">
        <v>2122.2600000000002</v>
      </c>
      <c r="H65" s="215">
        <v>-144.44999999999999</v>
      </c>
      <c r="I65" s="215">
        <v>338.01</v>
      </c>
      <c r="J65" s="134">
        <v>207.42909892612136</v>
      </c>
      <c r="K65" s="134">
        <v>207.29278130389798</v>
      </c>
      <c r="L65" s="134">
        <v>211.04469944402467</v>
      </c>
      <c r="M65" s="134">
        <v>228.54145244337008</v>
      </c>
      <c r="N65" s="134">
        <v>239.88550475037277</v>
      </c>
      <c r="O65" s="134">
        <v>166.08277860624648</v>
      </c>
      <c r="P65" s="5">
        <f t="shared" ref="P65:P109" si="4">SUM(D65:O65)</f>
        <v>2900.0863154740337</v>
      </c>
      <c r="Q65" s="6"/>
      <c r="R65" s="224"/>
      <c r="S65" s="6"/>
    </row>
    <row r="66" spans="1:19">
      <c r="A66" s="8">
        <f t="shared" si="0"/>
        <v>55</v>
      </c>
      <c r="B66" s="212">
        <v>8640</v>
      </c>
      <c r="C66" s="5" t="s">
        <v>291</v>
      </c>
      <c r="D66" s="215">
        <f>0</f>
        <v>0</v>
      </c>
      <c r="E66" s="215">
        <f>0</f>
        <v>0</v>
      </c>
      <c r="F66" s="215">
        <f>0</f>
        <v>0</v>
      </c>
      <c r="G66" s="215">
        <f>0</f>
        <v>0</v>
      </c>
      <c r="H66" s="215">
        <f>0</f>
        <v>0</v>
      </c>
      <c r="I66" s="215">
        <f>0</f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5">
        <f t="shared" si="4"/>
        <v>0</v>
      </c>
      <c r="Q66" s="6"/>
      <c r="R66" s="224"/>
      <c r="S66" s="6"/>
    </row>
    <row r="67" spans="1:19">
      <c r="A67" s="8">
        <f t="shared" si="0"/>
        <v>56</v>
      </c>
      <c r="B67" s="212">
        <v>8650</v>
      </c>
      <c r="C67" s="5" t="s">
        <v>292</v>
      </c>
      <c r="D67" s="215">
        <v>0</v>
      </c>
      <c r="E67" s="215">
        <v>0</v>
      </c>
      <c r="F67" s="215">
        <v>0</v>
      </c>
      <c r="G67" s="215">
        <v>186.24</v>
      </c>
      <c r="H67" s="215">
        <v>11.17</v>
      </c>
      <c r="I67" s="215">
        <v>0</v>
      </c>
      <c r="J67" s="134">
        <v>43.519026936793232</v>
      </c>
      <c r="K67" s="134">
        <v>40.105718120576341</v>
      </c>
      <c r="L67" s="134">
        <v>32.453914808819547</v>
      </c>
      <c r="M67" s="134">
        <v>23.511288983437701</v>
      </c>
      <c r="N67" s="134">
        <v>26.917684880612466</v>
      </c>
      <c r="O67" s="134">
        <v>31.720231740225405</v>
      </c>
      <c r="P67" s="5">
        <f t="shared" si="4"/>
        <v>395.6378654704647</v>
      </c>
      <c r="Q67" s="6"/>
      <c r="R67" s="6"/>
      <c r="S67" s="6"/>
    </row>
    <row r="68" spans="1:19">
      <c r="A68" s="8">
        <f t="shared" si="0"/>
        <v>57</v>
      </c>
      <c r="B68" s="212">
        <v>8700</v>
      </c>
      <c r="C68" s="5" t="s">
        <v>293</v>
      </c>
      <c r="D68" s="215">
        <v>121488.34000000003</v>
      </c>
      <c r="E68" s="215">
        <v>66761.950000000186</v>
      </c>
      <c r="F68" s="215">
        <v>96506.540000000139</v>
      </c>
      <c r="G68" s="215">
        <v>95123.020000000135</v>
      </c>
      <c r="H68" s="215">
        <v>107405.7199999999</v>
      </c>
      <c r="I68" s="215">
        <v>97613.249999999825</v>
      </c>
      <c r="J68" s="134">
        <v>104735.19801871628</v>
      </c>
      <c r="K68" s="134">
        <v>107296.46560177414</v>
      </c>
      <c r="L68" s="134">
        <v>107652.1522767323</v>
      </c>
      <c r="M68" s="134">
        <v>95061.739576489505</v>
      </c>
      <c r="N68" s="134">
        <v>98127.209004246615</v>
      </c>
      <c r="O68" s="134">
        <v>95293.191333889205</v>
      </c>
      <c r="P68" s="5">
        <f t="shared" si="4"/>
        <v>1193064.7758118485</v>
      </c>
      <c r="Q68" s="6"/>
      <c r="R68" s="224"/>
      <c r="S68" s="6"/>
    </row>
    <row r="69" spans="1:19">
      <c r="A69" s="8">
        <f t="shared" si="0"/>
        <v>58</v>
      </c>
      <c r="B69" s="212">
        <v>8710</v>
      </c>
      <c r="C69" s="5" t="s">
        <v>294</v>
      </c>
      <c r="D69" s="215">
        <v>50.39</v>
      </c>
      <c r="E69" s="215">
        <v>48.27</v>
      </c>
      <c r="F69" s="215">
        <v>58.99</v>
      </c>
      <c r="G69" s="215">
        <v>27.05</v>
      </c>
      <c r="H69" s="215">
        <v>61.11</v>
      </c>
      <c r="I69" s="215">
        <v>351.99</v>
      </c>
      <c r="J69" s="134">
        <v>88.316010307572398</v>
      </c>
      <c r="K69" s="134">
        <v>88.624378169277023</v>
      </c>
      <c r="L69" s="134">
        <v>84.111094863617041</v>
      </c>
      <c r="M69" s="134">
        <v>79.685639989787674</v>
      </c>
      <c r="N69" s="134">
        <v>87.92449594071789</v>
      </c>
      <c r="O69" s="134">
        <v>76.758025595433352</v>
      </c>
      <c r="P69" s="5">
        <f t="shared" si="4"/>
        <v>1103.2196448664054</v>
      </c>
      <c r="Q69" s="6"/>
      <c r="R69" s="224"/>
      <c r="S69" s="6"/>
    </row>
    <row r="70" spans="1:19">
      <c r="A70" s="8">
        <f t="shared" si="0"/>
        <v>59</v>
      </c>
      <c r="B70" s="212">
        <v>8711</v>
      </c>
      <c r="C70" s="213" t="s">
        <v>295</v>
      </c>
      <c r="D70" s="215">
        <v>58.55</v>
      </c>
      <c r="E70" s="215">
        <v>0</v>
      </c>
      <c r="F70" s="215">
        <v>0</v>
      </c>
      <c r="G70" s="215">
        <v>1204.3900000000001</v>
      </c>
      <c r="H70" s="215">
        <v>0</v>
      </c>
      <c r="I70" s="215">
        <v>0</v>
      </c>
      <c r="J70" s="134">
        <v>276.36034238577923</v>
      </c>
      <c r="K70" s="134">
        <v>255.6665938338756</v>
      </c>
      <c r="L70" s="134">
        <v>210.36434959407541</v>
      </c>
      <c r="M70" s="134">
        <v>156.44108561843723</v>
      </c>
      <c r="N70" s="134">
        <v>176.80583371340151</v>
      </c>
      <c r="O70" s="134">
        <v>206.1541359559603</v>
      </c>
      <c r="P70" s="5">
        <f t="shared" si="4"/>
        <v>2544.7323411015291</v>
      </c>
      <c r="Q70" s="6"/>
      <c r="R70" s="224"/>
      <c r="S70" s="6"/>
    </row>
    <row r="71" spans="1:19">
      <c r="A71" s="8">
        <f t="shared" si="0"/>
        <v>60</v>
      </c>
      <c r="B71" s="212">
        <v>8720</v>
      </c>
      <c r="C71" s="213" t="s">
        <v>296</v>
      </c>
      <c r="D71" s="215">
        <f>0</f>
        <v>0</v>
      </c>
      <c r="E71" s="215">
        <f>0</f>
        <v>0</v>
      </c>
      <c r="F71" s="215">
        <f>0</f>
        <v>0</v>
      </c>
      <c r="G71" s="215">
        <f>0</f>
        <v>0</v>
      </c>
      <c r="H71" s="215">
        <f>0</f>
        <v>0</v>
      </c>
      <c r="I71" s="215">
        <f>0</f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5">
        <f t="shared" si="4"/>
        <v>0</v>
      </c>
      <c r="Q71" s="6"/>
      <c r="R71" s="224"/>
      <c r="S71" s="6"/>
    </row>
    <row r="72" spans="1:19">
      <c r="A72" s="8">
        <f t="shared" si="0"/>
        <v>61</v>
      </c>
      <c r="B72" s="212">
        <v>8740</v>
      </c>
      <c r="C72" s="5" t="s">
        <v>297</v>
      </c>
      <c r="D72" s="215">
        <v>226559.30000000008</v>
      </c>
      <c r="E72" s="215">
        <v>356356.31999999995</v>
      </c>
      <c r="F72" s="215">
        <v>331226.78999999986</v>
      </c>
      <c r="G72" s="215">
        <v>248100.91999999972</v>
      </c>
      <c r="H72" s="215">
        <v>307975.7300000001</v>
      </c>
      <c r="I72" s="215">
        <v>220157.03999999998</v>
      </c>
      <c r="J72" s="134">
        <v>279762.74116838002</v>
      </c>
      <c r="K72" s="134">
        <v>281764.12184214161</v>
      </c>
      <c r="L72" s="134">
        <v>266054.96652069502</v>
      </c>
      <c r="M72" s="134">
        <v>262780.30932467576</v>
      </c>
      <c r="N72" s="134">
        <v>266350.10271621699</v>
      </c>
      <c r="O72" s="134">
        <v>252970.41187216531</v>
      </c>
      <c r="P72" s="5">
        <f t="shared" si="4"/>
        <v>3300058.753444274</v>
      </c>
      <c r="Q72" s="6"/>
      <c r="R72" s="224"/>
      <c r="S72" s="6"/>
    </row>
    <row r="73" spans="1:19">
      <c r="A73" s="8">
        <f t="shared" si="0"/>
        <v>62</v>
      </c>
      <c r="B73" s="212">
        <v>8750</v>
      </c>
      <c r="C73" s="5" t="s">
        <v>298</v>
      </c>
      <c r="D73" s="215">
        <v>61861.51</v>
      </c>
      <c r="E73" s="215">
        <v>19205.089999999997</v>
      </c>
      <c r="F73" s="215">
        <v>28782.089999999993</v>
      </c>
      <c r="G73" s="215">
        <v>39929.380000000005</v>
      </c>
      <c r="H73" s="215">
        <v>50494.560000000005</v>
      </c>
      <c r="I73" s="215">
        <v>41510.879999999997</v>
      </c>
      <c r="J73" s="134">
        <v>39810.193376284944</v>
      </c>
      <c r="K73" s="134">
        <v>42027.515002192951</v>
      </c>
      <c r="L73" s="134">
        <v>38315.264453817057</v>
      </c>
      <c r="M73" s="134">
        <v>38733.070435436384</v>
      </c>
      <c r="N73" s="134">
        <v>39245.287831893154</v>
      </c>
      <c r="O73" s="134">
        <v>38140.22107850157</v>
      </c>
      <c r="P73" s="5">
        <f t="shared" si="4"/>
        <v>478055.06217812601</v>
      </c>
      <c r="Q73" s="6"/>
      <c r="R73" s="224"/>
      <c r="S73" s="6"/>
    </row>
    <row r="74" spans="1:19">
      <c r="A74" s="8">
        <f t="shared" si="0"/>
        <v>63</v>
      </c>
      <c r="B74" s="212">
        <v>8760</v>
      </c>
      <c r="C74" s="5" t="s">
        <v>299</v>
      </c>
      <c r="D74" s="215">
        <v>2603.9899999999998</v>
      </c>
      <c r="E74" s="215">
        <v>3727.6899999999996</v>
      </c>
      <c r="F74" s="215">
        <v>2853.23</v>
      </c>
      <c r="G74" s="215">
        <v>3280.3199999999997</v>
      </c>
      <c r="H74" s="215">
        <v>2718.58</v>
      </c>
      <c r="I74" s="215">
        <v>-32.42999999999995</v>
      </c>
      <c r="J74" s="134">
        <v>2780.7421664390017</v>
      </c>
      <c r="K74" s="134">
        <v>2795.0846524446424</v>
      </c>
      <c r="L74" s="134">
        <v>2438.2127046999103</v>
      </c>
      <c r="M74" s="134">
        <v>2231.9904090595969</v>
      </c>
      <c r="N74" s="134">
        <v>2334.2091868756506</v>
      </c>
      <c r="O74" s="134">
        <v>2422.2999497006622</v>
      </c>
      <c r="P74" s="5">
        <f t="shared" si="4"/>
        <v>30153.919069219461</v>
      </c>
      <c r="Q74" s="6"/>
      <c r="R74" s="224"/>
      <c r="S74" s="6"/>
    </row>
    <row r="75" spans="1:19">
      <c r="A75" s="8">
        <f t="shared" si="0"/>
        <v>64</v>
      </c>
      <c r="B75" s="212">
        <v>8770</v>
      </c>
      <c r="C75" s="5" t="s">
        <v>300</v>
      </c>
      <c r="D75" s="215">
        <v>487.4</v>
      </c>
      <c r="E75" s="215">
        <v>1110.8999999999999</v>
      </c>
      <c r="F75" s="215">
        <v>1390.9699999999998</v>
      </c>
      <c r="G75" s="215">
        <v>96.56</v>
      </c>
      <c r="H75" s="215">
        <v>511.49</v>
      </c>
      <c r="I75" s="215">
        <v>7618.79</v>
      </c>
      <c r="J75" s="134">
        <v>2287.2348816894828</v>
      </c>
      <c r="K75" s="134">
        <v>2138.6928972598553</v>
      </c>
      <c r="L75" s="134">
        <v>1783.5052985593493</v>
      </c>
      <c r="M75" s="134">
        <v>1372.0203210213158</v>
      </c>
      <c r="N75" s="134">
        <v>1556.7050343499886</v>
      </c>
      <c r="O75" s="134">
        <v>1719.9396598412845</v>
      </c>
      <c r="P75" s="5">
        <f t="shared" si="4"/>
        <v>22074.208092721281</v>
      </c>
      <c r="Q75" s="6"/>
      <c r="R75" s="224"/>
      <c r="S75" s="6"/>
    </row>
    <row r="76" spans="1:19">
      <c r="A76" s="8">
        <f t="shared" si="0"/>
        <v>65</v>
      </c>
      <c r="B76" s="212">
        <v>8780</v>
      </c>
      <c r="C76" s="5" t="s">
        <v>301</v>
      </c>
      <c r="D76" s="215">
        <v>98617.510000000009</v>
      </c>
      <c r="E76" s="215">
        <v>50225.19999999999</v>
      </c>
      <c r="F76" s="215">
        <v>78582.409999999945</v>
      </c>
      <c r="G76" s="215">
        <v>75636.77</v>
      </c>
      <c r="H76" s="215">
        <v>88113.15</v>
      </c>
      <c r="I76" s="215">
        <v>80622.14</v>
      </c>
      <c r="J76" s="134">
        <v>75744.406098728577</v>
      </c>
      <c r="K76" s="134">
        <v>81468.056934878812</v>
      </c>
      <c r="L76" s="134">
        <v>74854.243908264369</v>
      </c>
      <c r="M76" s="134">
        <v>77590.817194578252</v>
      </c>
      <c r="N76" s="134">
        <v>77859.903296925695</v>
      </c>
      <c r="O76" s="134">
        <v>75101.526312815549</v>
      </c>
      <c r="P76" s="5">
        <f t="shared" si="4"/>
        <v>934416.13374619116</v>
      </c>
      <c r="Q76" s="6"/>
      <c r="R76" s="224"/>
      <c r="S76" s="6"/>
    </row>
    <row r="77" spans="1:19">
      <c r="A77" s="8">
        <f t="shared" ref="A77:A111" si="5">A76+1</f>
        <v>66</v>
      </c>
      <c r="B77" s="212">
        <v>8790</v>
      </c>
      <c r="C77" s="5" t="s">
        <v>302</v>
      </c>
      <c r="D77" s="215">
        <v>26.67</v>
      </c>
      <c r="E77" s="215">
        <v>1976.07</v>
      </c>
      <c r="F77" s="215">
        <v>0</v>
      </c>
      <c r="G77" s="215">
        <v>0</v>
      </c>
      <c r="H77" s="215">
        <v>0</v>
      </c>
      <c r="I77" s="215">
        <v>0</v>
      </c>
      <c r="J77" s="134">
        <v>441.50395627067161</v>
      </c>
      <c r="K77" s="134">
        <v>406.8756694635685</v>
      </c>
      <c r="L77" s="134">
        <v>329.24752213269471</v>
      </c>
      <c r="M77" s="134">
        <v>238.52387872291183</v>
      </c>
      <c r="N77" s="134">
        <v>273.08203342180138</v>
      </c>
      <c r="O77" s="134">
        <v>321.80424960953866</v>
      </c>
      <c r="P77" s="5">
        <f t="shared" si="4"/>
        <v>4013.7773096211868</v>
      </c>
      <c r="Q77" s="6"/>
      <c r="R77" s="224"/>
      <c r="S77" s="6"/>
    </row>
    <row r="78" spans="1:19">
      <c r="A78" s="8">
        <f t="shared" si="5"/>
        <v>67</v>
      </c>
      <c r="B78" s="212">
        <v>8800</v>
      </c>
      <c r="C78" s="5" t="s">
        <v>303</v>
      </c>
      <c r="D78" s="215">
        <v>4559.17</v>
      </c>
      <c r="E78" s="215">
        <v>9769.4200000000019</v>
      </c>
      <c r="F78" s="215">
        <v>25806.979999999996</v>
      </c>
      <c r="G78" s="215">
        <v>9218.4900000000016</v>
      </c>
      <c r="H78" s="215">
        <v>12897.25</v>
      </c>
      <c r="I78" s="215">
        <v>11839.650000000001</v>
      </c>
      <c r="J78" s="134">
        <v>13061.427189464473</v>
      </c>
      <c r="K78" s="134">
        <v>13993.884983223104</v>
      </c>
      <c r="L78" s="134">
        <v>13045.636866866871</v>
      </c>
      <c r="M78" s="134">
        <v>11952.56806403772</v>
      </c>
      <c r="N78" s="134">
        <v>11929.016492667402</v>
      </c>
      <c r="O78" s="134">
        <v>11560.000851689232</v>
      </c>
      <c r="P78" s="5">
        <f t="shared" si="4"/>
        <v>149633.49444794879</v>
      </c>
      <c r="Q78" s="6"/>
      <c r="R78" s="6"/>
      <c r="S78" s="6"/>
    </row>
    <row r="79" spans="1:19">
      <c r="A79" s="8">
        <f t="shared" si="5"/>
        <v>68</v>
      </c>
      <c r="B79" s="212">
        <v>8810</v>
      </c>
      <c r="C79" s="5" t="s">
        <v>304</v>
      </c>
      <c r="D79" s="215">
        <v>37613.359999999993</v>
      </c>
      <c r="E79" s="215">
        <v>31576.730000000003</v>
      </c>
      <c r="F79" s="215">
        <v>33008.11</v>
      </c>
      <c r="G79" s="215">
        <v>30693.929999999989</v>
      </c>
      <c r="H79" s="215">
        <v>34123.14</v>
      </c>
      <c r="I79" s="215">
        <v>40750.900000000009</v>
      </c>
      <c r="J79" s="134">
        <v>30538.428681850899</v>
      </c>
      <c r="K79" s="134">
        <v>30675.955996488472</v>
      </c>
      <c r="L79" s="134">
        <v>29217.328746881281</v>
      </c>
      <c r="M79" s="134">
        <v>27789.006020814322</v>
      </c>
      <c r="N79" s="134">
        <v>30543.896720364472</v>
      </c>
      <c r="O79" s="134">
        <v>26576.724497062107</v>
      </c>
      <c r="P79" s="5">
        <f t="shared" si="4"/>
        <v>383107.51066346146</v>
      </c>
      <c r="Q79" s="6"/>
      <c r="R79" s="6"/>
      <c r="S79" s="6"/>
    </row>
    <row r="80" spans="1:19">
      <c r="A80" s="8">
        <f t="shared" si="5"/>
        <v>69</v>
      </c>
      <c r="B80" s="212">
        <v>8850</v>
      </c>
      <c r="C80" s="5" t="s">
        <v>305</v>
      </c>
      <c r="D80" s="215">
        <v>312.39</v>
      </c>
      <c r="E80" s="215">
        <v>168.3</v>
      </c>
      <c r="F80" s="215">
        <v>21.29</v>
      </c>
      <c r="G80" s="215">
        <v>0</v>
      </c>
      <c r="H80" s="215">
        <v>238.17</v>
      </c>
      <c r="I80" s="215">
        <v>174</v>
      </c>
      <c r="J80" s="134">
        <v>106.75549975365566</v>
      </c>
      <c r="K80" s="134">
        <v>104.83921197698308</v>
      </c>
      <c r="L80" s="134">
        <v>95.920613211493588</v>
      </c>
      <c r="M80" s="134">
        <v>135.19495243927381</v>
      </c>
      <c r="N80" s="134">
        <v>133.36789314000725</v>
      </c>
      <c r="O80" s="134">
        <v>132.83889573824285</v>
      </c>
      <c r="P80" s="5">
        <f t="shared" si="4"/>
        <v>1623.0670662596563</v>
      </c>
      <c r="Q80" s="6"/>
      <c r="R80" s="6"/>
      <c r="S80" s="6"/>
    </row>
    <row r="81" spans="1:21">
      <c r="A81" s="8">
        <f t="shared" si="5"/>
        <v>70</v>
      </c>
      <c r="B81" s="212">
        <v>8860</v>
      </c>
      <c r="C81" s="5" t="s">
        <v>306</v>
      </c>
      <c r="D81" s="215">
        <v>0</v>
      </c>
      <c r="E81" s="215">
        <v>13.02</v>
      </c>
      <c r="F81" s="215">
        <v>47.55</v>
      </c>
      <c r="G81" s="215">
        <v>22.37</v>
      </c>
      <c r="H81" s="215">
        <v>0</v>
      </c>
      <c r="I81" s="215">
        <v>67.63</v>
      </c>
      <c r="J81" s="134">
        <v>32.246402524915204</v>
      </c>
      <c r="K81" s="134">
        <v>29.874816582401404</v>
      </c>
      <c r="L81" s="134">
        <v>24.444946326572367</v>
      </c>
      <c r="M81" s="134">
        <v>18.117578411274408</v>
      </c>
      <c r="N81" s="134">
        <v>20.670504950599391</v>
      </c>
      <c r="O81" s="134">
        <v>23.773586802020912</v>
      </c>
      <c r="P81" s="5">
        <f t="shared" si="4"/>
        <v>299.69783559778364</v>
      </c>
      <c r="Q81" s="6"/>
      <c r="R81" s="6"/>
      <c r="S81" s="6"/>
    </row>
    <row r="82" spans="1:21">
      <c r="A82" s="8">
        <f t="shared" si="5"/>
        <v>71</v>
      </c>
      <c r="B82" s="212">
        <v>8870</v>
      </c>
      <c r="C82" s="5" t="s">
        <v>307</v>
      </c>
      <c r="D82" s="215">
        <v>2051.67</v>
      </c>
      <c r="E82" s="215">
        <v>1614.92</v>
      </c>
      <c r="F82" s="215">
        <v>2274.3399999999997</v>
      </c>
      <c r="G82" s="215">
        <v>1692.15</v>
      </c>
      <c r="H82" s="215">
        <v>2720.2899999999995</v>
      </c>
      <c r="I82" s="215">
        <v>4890.25</v>
      </c>
      <c r="J82" s="134">
        <v>2338.7367010600105</v>
      </c>
      <c r="K82" s="134">
        <v>2479.7115405878149</v>
      </c>
      <c r="L82" s="134">
        <v>2312.8562938986774</v>
      </c>
      <c r="M82" s="134">
        <v>2411.3785776935847</v>
      </c>
      <c r="N82" s="134">
        <v>2443.5124861151753</v>
      </c>
      <c r="O82" s="134">
        <v>2224.8269566308263</v>
      </c>
      <c r="P82" s="5">
        <f t="shared" si="4"/>
        <v>29454.642555986084</v>
      </c>
      <c r="Q82" s="6"/>
      <c r="R82" s="225"/>
      <c r="S82" s="6"/>
    </row>
    <row r="83" spans="1:21">
      <c r="A83" s="8">
        <f t="shared" si="5"/>
        <v>72</v>
      </c>
      <c r="B83" s="212">
        <v>8890</v>
      </c>
      <c r="C83" s="226" t="s">
        <v>308</v>
      </c>
      <c r="D83" s="215">
        <v>0</v>
      </c>
      <c r="E83" s="215">
        <v>0</v>
      </c>
      <c r="F83" s="215">
        <v>0</v>
      </c>
      <c r="G83" s="215">
        <v>18.02</v>
      </c>
      <c r="H83" s="215">
        <v>0</v>
      </c>
      <c r="I83" s="215">
        <v>0</v>
      </c>
      <c r="J83" s="134">
        <v>3.9725083096145792</v>
      </c>
      <c r="K83" s="134">
        <v>3.6609343018731861</v>
      </c>
      <c r="L83" s="134">
        <v>2.9624616020208112</v>
      </c>
      <c r="M83" s="134">
        <v>2.1461599082191753</v>
      </c>
      <c r="N83" s="134">
        <v>2.4571028901708964</v>
      </c>
      <c r="O83" s="134">
        <v>2.8954894684102217</v>
      </c>
      <c r="P83" s="5">
        <f t="shared" si="4"/>
        <v>36.114656480308867</v>
      </c>
      <c r="Q83" s="6"/>
      <c r="R83" s="6"/>
      <c r="S83" s="6"/>
    </row>
    <row r="84" spans="1:21">
      <c r="A84" s="8">
        <f t="shared" si="5"/>
        <v>73</v>
      </c>
      <c r="B84" s="212">
        <v>8900</v>
      </c>
      <c r="C84" s="5" t="s">
        <v>309</v>
      </c>
      <c r="D84" s="215">
        <v>4089.86</v>
      </c>
      <c r="E84" s="215">
        <v>299.19</v>
      </c>
      <c r="F84" s="215">
        <v>0</v>
      </c>
      <c r="G84" s="215">
        <v>0</v>
      </c>
      <c r="H84" s="215">
        <v>0</v>
      </c>
      <c r="I84" s="215">
        <v>0</v>
      </c>
      <c r="J84" s="134">
        <v>967.56590434594159</v>
      </c>
      <c r="K84" s="134">
        <v>891.67723072344654</v>
      </c>
      <c r="L84" s="134">
        <v>721.5533903634539</v>
      </c>
      <c r="M84" s="134">
        <v>522.73047420473756</v>
      </c>
      <c r="N84" s="134">
        <v>598.46545172611388</v>
      </c>
      <c r="O84" s="134">
        <v>705.24129030665279</v>
      </c>
      <c r="P84" s="5">
        <f t="shared" si="4"/>
        <v>8796.2837416703478</v>
      </c>
      <c r="Q84" s="6"/>
      <c r="R84" s="6"/>
      <c r="S84" s="6"/>
    </row>
    <row r="85" spans="1:21">
      <c r="A85" s="8">
        <f t="shared" si="5"/>
        <v>74</v>
      </c>
      <c r="B85" s="212">
        <v>8910</v>
      </c>
      <c r="C85" s="5" t="s">
        <v>310</v>
      </c>
      <c r="D85" s="215">
        <v>114</v>
      </c>
      <c r="E85" s="215">
        <v>1284.8</v>
      </c>
      <c r="F85" s="215">
        <v>52.81</v>
      </c>
      <c r="G85" s="215">
        <v>170</v>
      </c>
      <c r="H85" s="215">
        <v>0</v>
      </c>
      <c r="I85" s="215">
        <v>583</v>
      </c>
      <c r="J85" s="134">
        <v>422.96235785790873</v>
      </c>
      <c r="K85" s="134">
        <v>400.28170311257674</v>
      </c>
      <c r="L85" s="134">
        <v>341.88894525341738</v>
      </c>
      <c r="M85" s="134">
        <v>274.87721578058199</v>
      </c>
      <c r="N85" s="134">
        <v>309.90722110280456</v>
      </c>
      <c r="O85" s="134">
        <v>326.25337055710253</v>
      </c>
      <c r="P85" s="5">
        <f t="shared" si="4"/>
        <v>4280.7808136643916</v>
      </c>
      <c r="Q85" s="6"/>
      <c r="R85" s="6"/>
      <c r="S85" s="6"/>
    </row>
    <row r="86" spans="1:21">
      <c r="A86" s="8">
        <f t="shared" si="5"/>
        <v>75</v>
      </c>
      <c r="B86" s="212">
        <v>8920</v>
      </c>
      <c r="C86" s="5" t="s">
        <v>311</v>
      </c>
      <c r="D86" s="215">
        <v>0</v>
      </c>
      <c r="E86" s="215">
        <v>0</v>
      </c>
      <c r="F86" s="215">
        <v>0</v>
      </c>
      <c r="G86" s="215">
        <v>0</v>
      </c>
      <c r="H86" s="215">
        <v>50.87</v>
      </c>
      <c r="I86" s="215">
        <v>0</v>
      </c>
      <c r="J86" s="134">
        <v>11.214289551059577</v>
      </c>
      <c r="K86" s="134">
        <v>10.334724080815146</v>
      </c>
      <c r="L86" s="134">
        <v>8.3629534791786142</v>
      </c>
      <c r="M86" s="134">
        <v>6.0585546354666722</v>
      </c>
      <c r="N86" s="134">
        <v>6.936338736015176</v>
      </c>
      <c r="O86" s="134">
        <v>8.1738928556064341</v>
      </c>
      <c r="P86" s="5">
        <f t="shared" si="4"/>
        <v>101.95075333814162</v>
      </c>
      <c r="Q86" s="6"/>
      <c r="R86" s="6"/>
      <c r="S86" s="6"/>
    </row>
    <row r="87" spans="1:21">
      <c r="A87" s="8">
        <f t="shared" si="5"/>
        <v>76</v>
      </c>
      <c r="B87" s="212">
        <v>8930</v>
      </c>
      <c r="C87" s="5" t="s">
        <v>312</v>
      </c>
      <c r="D87" s="215">
        <v>3597.5099999999998</v>
      </c>
      <c r="E87" s="215">
        <v>17018.47</v>
      </c>
      <c r="F87" s="215">
        <v>12171.419999999998</v>
      </c>
      <c r="G87" s="215">
        <v>1369.0500000000002</v>
      </c>
      <c r="H87" s="215">
        <v>1322.5700000000002</v>
      </c>
      <c r="I87" s="215">
        <v>9941.74</v>
      </c>
      <c r="J87" s="134">
        <v>7218.7172031185964</v>
      </c>
      <c r="K87" s="134">
        <v>7819.1631927379658</v>
      </c>
      <c r="L87" s="134">
        <v>7189.4344706364845</v>
      </c>
      <c r="M87" s="134">
        <v>7521.6993920121904</v>
      </c>
      <c r="N87" s="134">
        <v>7521.6993920121904</v>
      </c>
      <c r="O87" s="134">
        <v>7225.739916185109</v>
      </c>
      <c r="P87" s="5">
        <f t="shared" si="4"/>
        <v>89917.213566702529</v>
      </c>
      <c r="Q87" s="6"/>
      <c r="R87" s="6"/>
      <c r="S87" s="6"/>
    </row>
    <row r="88" spans="1:21">
      <c r="A88" s="8">
        <f t="shared" si="5"/>
        <v>77</v>
      </c>
      <c r="B88" s="212">
        <v>8940</v>
      </c>
      <c r="C88" s="5" t="s">
        <v>313</v>
      </c>
      <c r="D88" s="215">
        <v>875.79000000000008</v>
      </c>
      <c r="E88" s="215">
        <v>813.25</v>
      </c>
      <c r="F88" s="215">
        <v>1734.98</v>
      </c>
      <c r="G88" s="215">
        <v>992.0100000000001</v>
      </c>
      <c r="H88" s="215">
        <v>525.57000000000005</v>
      </c>
      <c r="I88" s="215">
        <v>239.21</v>
      </c>
      <c r="J88" s="134">
        <v>1378.8979112053476</v>
      </c>
      <c r="K88" s="134">
        <v>1291.6640818312399</v>
      </c>
      <c r="L88" s="134">
        <v>1096.6095460809368</v>
      </c>
      <c r="M88" s="134">
        <v>614.48478615254703</v>
      </c>
      <c r="N88" s="134">
        <v>701.039180255666</v>
      </c>
      <c r="O88" s="134">
        <v>819.11890968288139</v>
      </c>
      <c r="P88" s="5">
        <f t="shared" si="4"/>
        <v>11082.624415208618</v>
      </c>
      <c r="Q88" s="6"/>
      <c r="R88" s="6"/>
      <c r="S88" s="6"/>
    </row>
    <row r="89" spans="1:21">
      <c r="A89" s="8">
        <f t="shared" si="5"/>
        <v>78</v>
      </c>
      <c r="B89" s="212">
        <v>9010</v>
      </c>
      <c r="C89" s="9" t="s">
        <v>314</v>
      </c>
      <c r="D89" s="215">
        <v>0</v>
      </c>
      <c r="E89" s="215">
        <v>48.86</v>
      </c>
      <c r="F89" s="215">
        <v>-18.32</v>
      </c>
      <c r="G89" s="215">
        <v>172.46</v>
      </c>
      <c r="H89" s="215">
        <v>0</v>
      </c>
      <c r="I89" s="215">
        <v>0</v>
      </c>
      <c r="J89" s="134">
        <v>42.872519779659306</v>
      </c>
      <c r="K89" s="134">
        <v>40.294335561912838</v>
      </c>
      <c r="L89" s="134">
        <v>33.186201628891226</v>
      </c>
      <c r="M89" s="134">
        <v>25.597213051493107</v>
      </c>
      <c r="N89" s="134">
        <v>28.573085785532719</v>
      </c>
      <c r="O89" s="134">
        <v>32.569657394952593</v>
      </c>
      <c r="P89" s="5">
        <f t="shared" si="4"/>
        <v>406.0930132024418</v>
      </c>
      <c r="Q89" s="6"/>
      <c r="R89" s="6"/>
      <c r="S89" s="6"/>
    </row>
    <row r="90" spans="1:21">
      <c r="A90" s="8">
        <f t="shared" si="5"/>
        <v>79</v>
      </c>
      <c r="B90" s="212">
        <v>9020</v>
      </c>
      <c r="C90" s="5" t="s">
        <v>315</v>
      </c>
      <c r="D90" s="215">
        <v>110784.90999999999</v>
      </c>
      <c r="E90" s="215">
        <v>105089.31999999998</v>
      </c>
      <c r="F90" s="215">
        <v>126664.08000000002</v>
      </c>
      <c r="G90" s="215">
        <v>97026.380000000019</v>
      </c>
      <c r="H90" s="215">
        <v>108759.08</v>
      </c>
      <c r="I90" s="215">
        <v>104421.48000000001</v>
      </c>
      <c r="J90" s="134">
        <v>86779.281108620286</v>
      </c>
      <c r="K90" s="134">
        <v>88256.111255874202</v>
      </c>
      <c r="L90" s="134">
        <v>88536.50222008198</v>
      </c>
      <c r="M90" s="134">
        <v>94815.066996157722</v>
      </c>
      <c r="N90" s="134">
        <v>99284.307296900282</v>
      </c>
      <c r="O90" s="134">
        <v>76385.467928657512</v>
      </c>
      <c r="P90" s="5">
        <f t="shared" si="4"/>
        <v>1186801.9868062921</v>
      </c>
      <c r="Q90" s="79"/>
      <c r="R90" s="79"/>
      <c r="S90" s="79"/>
      <c r="T90" s="79"/>
      <c r="U90" s="79"/>
    </row>
    <row r="91" spans="1:21">
      <c r="A91" s="8">
        <f t="shared" si="5"/>
        <v>80</v>
      </c>
      <c r="B91" s="212">
        <v>9030</v>
      </c>
      <c r="C91" s="5" t="s">
        <v>316</v>
      </c>
      <c r="D91" s="215">
        <v>23155.33</v>
      </c>
      <c r="E91" s="215">
        <v>39749.359999999993</v>
      </c>
      <c r="F91" s="215">
        <v>501984.22000000003</v>
      </c>
      <c r="G91" s="215">
        <v>102686.18999999999</v>
      </c>
      <c r="H91" s="215">
        <v>138341.84999999998</v>
      </c>
      <c r="I91" s="215">
        <v>123054.95999999999</v>
      </c>
      <c r="J91" s="134">
        <v>120507.57834925406</v>
      </c>
      <c r="K91" s="134">
        <v>121313.7520953964</v>
      </c>
      <c r="L91" s="134">
        <v>122157.18874856198</v>
      </c>
      <c r="M91" s="134">
        <v>131566.16815202171</v>
      </c>
      <c r="N91" s="134">
        <v>137491.77013666235</v>
      </c>
      <c r="O91" s="134">
        <v>98963.309252858511</v>
      </c>
      <c r="P91" s="5">
        <f t="shared" si="4"/>
        <v>1660971.6767347548</v>
      </c>
      <c r="Q91" s="79"/>
      <c r="R91" s="79"/>
      <c r="S91" s="79"/>
      <c r="T91" s="79"/>
      <c r="U91" s="79"/>
    </row>
    <row r="92" spans="1:21">
      <c r="A92" s="8">
        <f t="shared" si="5"/>
        <v>81</v>
      </c>
      <c r="B92" s="212">
        <v>9040</v>
      </c>
      <c r="C92" s="5" t="s">
        <v>317</v>
      </c>
      <c r="D92" s="215">
        <v>49058</v>
      </c>
      <c r="E92" s="215">
        <v>39838</v>
      </c>
      <c r="F92" s="215">
        <v>32057</v>
      </c>
      <c r="G92" s="215">
        <v>27877</v>
      </c>
      <c r="H92" s="215">
        <v>23175</v>
      </c>
      <c r="I92" s="215">
        <v>21912</v>
      </c>
      <c r="J92" s="134">
        <v>21693.599999999999</v>
      </c>
      <c r="K92" s="134">
        <v>21263.29</v>
      </c>
      <c r="L92" s="134">
        <v>21604.04</v>
      </c>
      <c r="M92" s="134">
        <v>29383.746299999999</v>
      </c>
      <c r="N92" s="134">
        <v>35250.331700000002</v>
      </c>
      <c r="O92" s="134">
        <v>46799.183700000001</v>
      </c>
      <c r="P92" s="5">
        <f t="shared" si="4"/>
        <v>369911.19170000002</v>
      </c>
      <c r="Q92" s="6"/>
      <c r="R92" s="6"/>
      <c r="S92" s="6"/>
    </row>
    <row r="93" spans="1:21">
      <c r="A93" s="8">
        <f t="shared" si="5"/>
        <v>82</v>
      </c>
      <c r="B93" s="212">
        <v>9090</v>
      </c>
      <c r="C93" s="5" t="s">
        <v>318</v>
      </c>
      <c r="D93" s="215">
        <v>10133.370000000001</v>
      </c>
      <c r="E93" s="215">
        <v>9037.86</v>
      </c>
      <c r="F93" s="215">
        <v>11220.49</v>
      </c>
      <c r="G93" s="215">
        <v>9707.85</v>
      </c>
      <c r="H93" s="215">
        <v>12366.190000000002</v>
      </c>
      <c r="I93" s="215">
        <v>12062.02</v>
      </c>
      <c r="J93" s="134">
        <v>12031.954990537901</v>
      </c>
      <c r="K93" s="134">
        <v>12761.961963263597</v>
      </c>
      <c r="L93" s="134">
        <v>12252.785509635303</v>
      </c>
      <c r="M93" s="134">
        <v>11131.191495653427</v>
      </c>
      <c r="N93" s="134">
        <v>11030.751385091457</v>
      </c>
      <c r="O93" s="134">
        <v>10675.868313112467</v>
      </c>
      <c r="P93" s="5">
        <f t="shared" si="4"/>
        <v>134412.29365729415</v>
      </c>
      <c r="Q93" s="6"/>
      <c r="R93" s="6"/>
      <c r="S93" s="6"/>
    </row>
    <row r="94" spans="1:21">
      <c r="A94" s="8">
        <f t="shared" si="5"/>
        <v>83</v>
      </c>
      <c r="B94" s="212">
        <v>9100</v>
      </c>
      <c r="C94" s="5" t="s">
        <v>319</v>
      </c>
      <c r="D94" s="215">
        <f>0</f>
        <v>0</v>
      </c>
      <c r="E94" s="215">
        <f>0</f>
        <v>0</v>
      </c>
      <c r="F94" s="215">
        <f>0</f>
        <v>0</v>
      </c>
      <c r="G94" s="215">
        <f>0</f>
        <v>0</v>
      </c>
      <c r="H94" s="215">
        <f>0</f>
        <v>0</v>
      </c>
      <c r="I94" s="215">
        <f>0</f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5">
        <f t="shared" si="4"/>
        <v>0</v>
      </c>
      <c r="Q94" s="6"/>
      <c r="R94" s="6"/>
      <c r="S94" s="6"/>
    </row>
    <row r="95" spans="1:21">
      <c r="A95" s="8">
        <f t="shared" si="5"/>
        <v>84</v>
      </c>
      <c r="B95" s="212">
        <v>9110</v>
      </c>
      <c r="C95" s="5" t="s">
        <v>320</v>
      </c>
      <c r="D95" s="215">
        <v>22301.33</v>
      </c>
      <c r="E95" s="215">
        <v>16762.810000000001</v>
      </c>
      <c r="F95" s="215">
        <v>23243.09</v>
      </c>
      <c r="G95" s="215">
        <v>19798.989999999998</v>
      </c>
      <c r="H95" s="215">
        <v>21407.67</v>
      </c>
      <c r="I95" s="215">
        <v>21584.890000000003</v>
      </c>
      <c r="J95" s="134">
        <v>20675.423591401213</v>
      </c>
      <c r="K95" s="134">
        <v>21999.196767974179</v>
      </c>
      <c r="L95" s="134">
        <v>21360.062230206717</v>
      </c>
      <c r="M95" s="134">
        <v>22375.104967986197</v>
      </c>
      <c r="N95" s="134">
        <v>22087.808769509622</v>
      </c>
      <c r="O95" s="134">
        <v>21532.913795045988</v>
      </c>
      <c r="P95" s="5">
        <f t="shared" si="4"/>
        <v>255129.29012212393</v>
      </c>
      <c r="Q95" s="6"/>
      <c r="R95" s="225"/>
      <c r="S95" s="6"/>
    </row>
    <row r="96" spans="1:21">
      <c r="A96" s="8">
        <f t="shared" si="5"/>
        <v>85</v>
      </c>
      <c r="B96" s="212">
        <v>9120</v>
      </c>
      <c r="C96" s="5" t="s">
        <v>321</v>
      </c>
      <c r="D96" s="215">
        <v>16390.32</v>
      </c>
      <c r="E96" s="215">
        <v>8111.26</v>
      </c>
      <c r="F96" s="215">
        <v>12044.060000000001</v>
      </c>
      <c r="G96" s="215">
        <v>10477.56</v>
      </c>
      <c r="H96" s="215">
        <v>6937.37</v>
      </c>
      <c r="I96" s="215">
        <v>6607.42</v>
      </c>
      <c r="J96" s="134">
        <v>7020.904787823094</v>
      </c>
      <c r="K96" s="134">
        <v>9167.1438574379699</v>
      </c>
      <c r="L96" s="134">
        <v>10817.563892877215</v>
      </c>
      <c r="M96" s="134">
        <v>12910.311088777229</v>
      </c>
      <c r="N96" s="134">
        <v>6569.8752645233899</v>
      </c>
      <c r="O96" s="134">
        <v>10032.512903661907</v>
      </c>
      <c r="P96" s="5">
        <f t="shared" si="4"/>
        <v>117086.30179510081</v>
      </c>
      <c r="Q96" s="6"/>
      <c r="R96" s="225"/>
      <c r="S96" s="6"/>
    </row>
    <row r="97" spans="1:19">
      <c r="A97" s="8">
        <f t="shared" si="5"/>
        <v>86</v>
      </c>
      <c r="B97" s="212">
        <v>9130</v>
      </c>
      <c r="C97" s="5" t="s">
        <v>322</v>
      </c>
      <c r="D97" s="215">
        <v>1111.1600000000001</v>
      </c>
      <c r="E97" s="215">
        <v>7084.3</v>
      </c>
      <c r="F97" s="215">
        <v>2365.9899999999998</v>
      </c>
      <c r="G97" s="215">
        <v>2627.1400000000003</v>
      </c>
      <c r="H97" s="215">
        <v>3104.84</v>
      </c>
      <c r="I97" s="215">
        <v>3025</v>
      </c>
      <c r="J97" s="134">
        <v>2446.4242876818776</v>
      </c>
      <c r="K97" s="134">
        <v>3237.4881920074649</v>
      </c>
      <c r="L97" s="134">
        <v>3877.4551024282482</v>
      </c>
      <c r="M97" s="134">
        <v>4172.0275790556625</v>
      </c>
      <c r="N97" s="134">
        <v>2317.9921993413336</v>
      </c>
      <c r="O97" s="134">
        <v>3367.2511335634836</v>
      </c>
      <c r="P97" s="5">
        <f t="shared" si="4"/>
        <v>38737.06849407807</v>
      </c>
      <c r="Q97" s="6"/>
      <c r="R97" s="6"/>
      <c r="S97" s="6"/>
    </row>
    <row r="98" spans="1:19">
      <c r="A98" s="8">
        <f t="shared" si="5"/>
        <v>87</v>
      </c>
      <c r="B98" s="212">
        <v>9200</v>
      </c>
      <c r="C98" s="213" t="s">
        <v>323</v>
      </c>
      <c r="D98" s="215">
        <v>13290.94</v>
      </c>
      <c r="E98" s="215">
        <v>9993.0299999999988</v>
      </c>
      <c r="F98" s="215">
        <v>13406.640000000001</v>
      </c>
      <c r="G98" s="215">
        <v>10433.07</v>
      </c>
      <c r="H98" s="215">
        <v>12196.779999999999</v>
      </c>
      <c r="I98" s="215">
        <v>12401.91</v>
      </c>
      <c r="J98" s="134">
        <v>11398.829657791661</v>
      </c>
      <c r="K98" s="134">
        <v>12346.973401588475</v>
      </c>
      <c r="L98" s="134">
        <v>11352.590295577267</v>
      </c>
      <c r="M98" s="134">
        <v>11877.258478780925</v>
      </c>
      <c r="N98" s="134">
        <v>11877.258478780925</v>
      </c>
      <c r="O98" s="134">
        <v>11409.918984015183</v>
      </c>
      <c r="P98" s="5">
        <f t="shared" si="4"/>
        <v>141985.19929653441</v>
      </c>
      <c r="Q98" s="6"/>
      <c r="R98" s="225"/>
      <c r="S98" s="6"/>
    </row>
    <row r="99" spans="1:19">
      <c r="A99" s="8">
        <f t="shared" si="5"/>
        <v>88</v>
      </c>
      <c r="B99" s="212">
        <v>9210</v>
      </c>
      <c r="C99" s="5" t="s">
        <v>324</v>
      </c>
      <c r="D99" s="215">
        <v>213</v>
      </c>
      <c r="E99" s="215">
        <v>-50</v>
      </c>
      <c r="F99" s="215">
        <v>141.4</v>
      </c>
      <c r="G99" s="215">
        <v>397.76</v>
      </c>
      <c r="H99" s="215">
        <v>623.2399999999999</v>
      </c>
      <c r="I99" s="215">
        <v>375.99</v>
      </c>
      <c r="J99" s="134">
        <v>-413.31388270564776</v>
      </c>
      <c r="K99" s="134">
        <v>-366.18750577662126</v>
      </c>
      <c r="L99" s="134">
        <v>-315.6713458137653</v>
      </c>
      <c r="M99" s="134">
        <v>308.85523548641817</v>
      </c>
      <c r="N99" s="134">
        <v>194.54688484462145</v>
      </c>
      <c r="O99" s="134">
        <v>270.37413966801546</v>
      </c>
      <c r="P99" s="5">
        <f t="shared" si="4"/>
        <v>1379.9935257030206</v>
      </c>
      <c r="Q99" s="6"/>
      <c r="R99" s="225"/>
      <c r="S99" s="6"/>
    </row>
    <row r="100" spans="1:19">
      <c r="A100" s="8">
        <f t="shared" si="5"/>
        <v>89</v>
      </c>
      <c r="B100" s="212">
        <v>9220</v>
      </c>
      <c r="C100" s="5" t="s">
        <v>325</v>
      </c>
      <c r="D100" s="215">
        <v>1165023.74</v>
      </c>
      <c r="E100" s="215">
        <v>1094816.6299999999</v>
      </c>
      <c r="F100" s="215">
        <v>946831.91999999993</v>
      </c>
      <c r="G100" s="215">
        <v>1026190.3400000001</v>
      </c>
      <c r="H100" s="215">
        <v>1198875.8399999999</v>
      </c>
      <c r="I100" s="215">
        <v>640902.33000000007</v>
      </c>
      <c r="J100" s="116">
        <f>-('C.2.2 B 02'!J42+'C.2.2 B 12'!J34+'C.2.2 B 91'!J56)</f>
        <v>1221424.8626249172</v>
      </c>
      <c r="K100" s="116">
        <f>-('C.2.2 B 02'!K42+'C.2.2 B 12'!K34+'C.2.2 B 91'!K56)</f>
        <v>1112542.3003587229</v>
      </c>
      <c r="L100" s="116">
        <f>-('C.2.2 B 02'!L42+'C.2.2 B 12'!L34+'C.2.2 B 91'!L56)</f>
        <v>1754787.7278923183</v>
      </c>
      <c r="M100" s="116">
        <f>-('C.2.2 B 02'!M42+'C.2.2 B 12'!M34+'C.2.2 B 91'!M56)</f>
        <v>1108456.3360559836</v>
      </c>
      <c r="N100" s="116">
        <f>-('C.2.2 B 02'!N42+'C.2.2 B 12'!N34+'C.2.2 B 91'!N56)</f>
        <v>1140910.1589945098</v>
      </c>
      <c r="O100" s="116">
        <f>-('C.2.2 B 02'!O42+'C.2.2 B 12'!O34+'C.2.2 B 91'!O56)</f>
        <v>1115317.6166687084</v>
      </c>
      <c r="P100" s="5">
        <f>SUM(D100:O100)</f>
        <v>13526079.802595161</v>
      </c>
      <c r="Q100" s="79"/>
      <c r="R100" s="227"/>
      <c r="S100" s="5"/>
    </row>
    <row r="101" spans="1:19">
      <c r="A101" s="8">
        <f t="shared" si="5"/>
        <v>90</v>
      </c>
      <c r="B101" s="212">
        <v>9230</v>
      </c>
      <c r="C101" s="5" t="s">
        <v>326</v>
      </c>
      <c r="D101" s="215">
        <v>7268.05</v>
      </c>
      <c r="E101" s="215">
        <v>5262.9</v>
      </c>
      <c r="F101" s="215">
        <v>0</v>
      </c>
      <c r="G101" s="215">
        <v>10119.08</v>
      </c>
      <c r="H101" s="215">
        <v>9741.08</v>
      </c>
      <c r="I101" s="215">
        <v>5019.95</v>
      </c>
      <c r="J101" s="134">
        <v>4524.4967419991381</v>
      </c>
      <c r="K101" s="134">
        <v>4436.1393290730448</v>
      </c>
      <c r="L101" s="134">
        <v>4625.2448831349311</v>
      </c>
      <c r="M101" s="134">
        <v>5045.9183349906152</v>
      </c>
      <c r="N101" s="134">
        <v>5349.0562074909139</v>
      </c>
      <c r="O101" s="134">
        <v>3418.6418831471237</v>
      </c>
      <c r="P101" s="5">
        <f t="shared" si="4"/>
        <v>64810.557379835765</v>
      </c>
      <c r="Q101" s="6"/>
      <c r="R101" s="225"/>
      <c r="S101" s="6"/>
    </row>
    <row r="102" spans="1:19">
      <c r="A102" s="8">
        <f t="shared" si="5"/>
        <v>91</v>
      </c>
      <c r="B102" s="212">
        <v>9240</v>
      </c>
      <c r="C102" s="5" t="s">
        <v>327</v>
      </c>
      <c r="D102" s="215">
        <v>13990.779999999999</v>
      </c>
      <c r="E102" s="215">
        <v>13921.75</v>
      </c>
      <c r="F102" s="215">
        <v>14167.420000000002</v>
      </c>
      <c r="G102" s="215">
        <v>13939.490000000002</v>
      </c>
      <c r="H102" s="215">
        <v>14230.75</v>
      </c>
      <c r="I102" s="215">
        <v>13802.05</v>
      </c>
      <c r="J102" s="134">
        <v>1439.3178702045811</v>
      </c>
      <c r="K102" s="134">
        <v>946.40079136739587</v>
      </c>
      <c r="L102" s="134">
        <v>1361.4369717483057</v>
      </c>
      <c r="M102" s="134">
        <v>394.33366306974824</v>
      </c>
      <c r="N102" s="134">
        <v>394.33366306974824</v>
      </c>
      <c r="O102" s="134">
        <v>394.33366306974824</v>
      </c>
      <c r="P102" s="5">
        <f t="shared" si="4"/>
        <v>88982.39662252953</v>
      </c>
      <c r="Q102" s="6"/>
      <c r="R102" s="225"/>
      <c r="S102" s="6"/>
    </row>
    <row r="103" spans="1:19">
      <c r="A103" s="8">
        <f t="shared" si="5"/>
        <v>92</v>
      </c>
      <c r="B103" s="212">
        <v>9250</v>
      </c>
      <c r="C103" s="5" t="s">
        <v>328</v>
      </c>
      <c r="D103" s="215">
        <v>1847.5900000000001</v>
      </c>
      <c r="E103" s="215">
        <v>783.72</v>
      </c>
      <c r="F103" s="215">
        <v>2141.4499999999998</v>
      </c>
      <c r="G103" s="215">
        <v>5523.7</v>
      </c>
      <c r="H103" s="215">
        <v>488.45</v>
      </c>
      <c r="I103" s="215">
        <v>313.65999999999997</v>
      </c>
      <c r="J103" s="134">
        <v>1116.6725776922744</v>
      </c>
      <c r="K103" s="134">
        <v>1138.2339204285026</v>
      </c>
      <c r="L103" s="134">
        <v>1281.8892428190045</v>
      </c>
      <c r="M103" s="134">
        <v>1404.0351406507662</v>
      </c>
      <c r="N103" s="134">
        <v>1573.7679120582748</v>
      </c>
      <c r="O103" s="134">
        <v>1067.8093835746895</v>
      </c>
      <c r="P103" s="5">
        <f t="shared" si="4"/>
        <v>18680.978177223515</v>
      </c>
      <c r="Q103" s="6"/>
      <c r="R103" s="225"/>
      <c r="S103" s="6"/>
    </row>
    <row r="104" spans="1:19">
      <c r="A104" s="8">
        <f t="shared" si="5"/>
        <v>93</v>
      </c>
      <c r="B104" s="212">
        <v>9260</v>
      </c>
      <c r="C104" s="5" t="s">
        <v>329</v>
      </c>
      <c r="D104" s="215">
        <v>174539.36999999988</v>
      </c>
      <c r="E104" s="215">
        <v>152249.79999999996</v>
      </c>
      <c r="F104" s="215">
        <v>185191.22000000012</v>
      </c>
      <c r="G104" s="215">
        <v>160523.91999999995</v>
      </c>
      <c r="H104" s="215">
        <v>188456.50000000003</v>
      </c>
      <c r="I104" s="215">
        <v>160942.74000000005</v>
      </c>
      <c r="J104" s="134">
        <v>161708.81371113806</v>
      </c>
      <c r="K104" s="134">
        <v>175131.83863619238</v>
      </c>
      <c r="L104" s="134">
        <v>163499.9672487934</v>
      </c>
      <c r="M104" s="134">
        <v>142796.48177615754</v>
      </c>
      <c r="N104" s="134">
        <v>145700.21108473931</v>
      </c>
      <c r="O104" s="134">
        <v>136624.56752368226</v>
      </c>
      <c r="P104" s="5">
        <f>SUM(D104:O104)</f>
        <v>1947365.4299807029</v>
      </c>
      <c r="Q104" s="6"/>
      <c r="R104" s="225"/>
      <c r="S104" s="6"/>
    </row>
    <row r="105" spans="1:19">
      <c r="A105" s="8">
        <f t="shared" si="5"/>
        <v>94</v>
      </c>
      <c r="B105" s="212">
        <v>9270</v>
      </c>
      <c r="C105" s="5" t="s">
        <v>330</v>
      </c>
      <c r="D105" s="215">
        <v>0</v>
      </c>
      <c r="E105" s="215">
        <v>0</v>
      </c>
      <c r="F105" s="215">
        <v>842.28</v>
      </c>
      <c r="G105" s="215">
        <v>0</v>
      </c>
      <c r="H105" s="215">
        <v>14.37</v>
      </c>
      <c r="I105" s="215">
        <v>0</v>
      </c>
      <c r="J105" s="134">
        <v>1774.8257615384764</v>
      </c>
      <c r="K105" s="134">
        <v>1774.911456199769</v>
      </c>
      <c r="L105" s="134">
        <v>1775.2651268766554</v>
      </c>
      <c r="M105" s="134">
        <v>82.987592800505183</v>
      </c>
      <c r="N105" s="134">
        <v>77.835902190061532</v>
      </c>
      <c r="O105" s="134">
        <v>47.88898431433725</v>
      </c>
      <c r="P105" s="5">
        <f t="shared" si="4"/>
        <v>6390.3648239198037</v>
      </c>
      <c r="Q105" s="6"/>
      <c r="R105" s="225"/>
      <c r="S105" s="6"/>
    </row>
    <row r="106" spans="1:19">
      <c r="A106" s="8">
        <f t="shared" si="5"/>
        <v>95</v>
      </c>
      <c r="B106" s="212">
        <v>9280</v>
      </c>
      <c r="C106" s="5" t="s">
        <v>331</v>
      </c>
      <c r="D106" s="215">
        <f>0</f>
        <v>0</v>
      </c>
      <c r="E106" s="215">
        <f>0</f>
        <v>0</v>
      </c>
      <c r="F106" s="215">
        <f>0</f>
        <v>0</v>
      </c>
      <c r="G106" s="215">
        <f>0</f>
        <v>0</v>
      </c>
      <c r="H106" s="215">
        <f>0</f>
        <v>0</v>
      </c>
      <c r="I106" s="215">
        <f>0</f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5">
        <f t="shared" si="4"/>
        <v>0</v>
      </c>
      <c r="Q106" s="6"/>
      <c r="R106" s="225"/>
      <c r="S106" s="6"/>
    </row>
    <row r="107" spans="1:19">
      <c r="A107" s="8">
        <f t="shared" si="5"/>
        <v>96</v>
      </c>
      <c r="B107" s="212">
        <v>9302</v>
      </c>
      <c r="C107" s="5" t="s">
        <v>332</v>
      </c>
      <c r="D107" s="215">
        <v>12347.07</v>
      </c>
      <c r="E107" s="215">
        <v>7382.07</v>
      </c>
      <c r="F107" s="215">
        <v>8449.07</v>
      </c>
      <c r="G107" s="215">
        <v>4277.07</v>
      </c>
      <c r="H107" s="215">
        <v>14490.15</v>
      </c>
      <c r="I107" s="215">
        <v>4482.07</v>
      </c>
      <c r="J107" s="134">
        <v>1735.8813523859897</v>
      </c>
      <c r="K107" s="134">
        <v>2011.8987986306272</v>
      </c>
      <c r="L107" s="134">
        <v>1723.9805109630124</v>
      </c>
      <c r="M107" s="134">
        <v>10935.477996652693</v>
      </c>
      <c r="N107" s="134">
        <v>684.21630705275663</v>
      </c>
      <c r="O107" s="134">
        <v>5642.6403298598962</v>
      </c>
      <c r="P107" s="5">
        <f t="shared" si="4"/>
        <v>74161.595295544976</v>
      </c>
      <c r="Q107" s="6"/>
      <c r="R107" s="225"/>
      <c r="S107" s="6"/>
    </row>
    <row r="108" spans="1:19">
      <c r="A108" s="8">
        <f t="shared" si="5"/>
        <v>97</v>
      </c>
      <c r="B108" s="212">
        <v>9310</v>
      </c>
      <c r="C108" s="213" t="s">
        <v>209</v>
      </c>
      <c r="D108" s="215">
        <v>1283.2</v>
      </c>
      <c r="E108" s="215">
        <v>1283.2</v>
      </c>
      <c r="F108" s="215">
        <v>1283.2</v>
      </c>
      <c r="G108" s="215">
        <v>1283.2</v>
      </c>
      <c r="H108" s="215">
        <v>1304.52</v>
      </c>
      <c r="I108" s="215">
        <v>1304.52</v>
      </c>
      <c r="J108" s="134">
        <v>1143.741086048137</v>
      </c>
      <c r="K108" s="134">
        <v>1147.7346200836998</v>
      </c>
      <c r="L108" s="134">
        <v>1089.2851098343008</v>
      </c>
      <c r="M108" s="134">
        <v>1031.9730262605183</v>
      </c>
      <c r="N108" s="134">
        <v>1138.6707588720099</v>
      </c>
      <c r="O108" s="134">
        <v>994.05880373996285</v>
      </c>
      <c r="P108" s="5">
        <f t="shared" si="4"/>
        <v>14287.303404838631</v>
      </c>
      <c r="Q108" s="6"/>
      <c r="R108" s="225"/>
      <c r="S108" s="6"/>
    </row>
    <row r="109" spans="1:19">
      <c r="A109" s="8">
        <f t="shared" si="5"/>
        <v>98</v>
      </c>
      <c r="B109" s="212">
        <v>9320</v>
      </c>
      <c r="C109" s="9" t="s">
        <v>333</v>
      </c>
      <c r="D109" s="215">
        <f>0</f>
        <v>0</v>
      </c>
      <c r="E109" s="215">
        <f>0</f>
        <v>0</v>
      </c>
      <c r="F109" s="215">
        <f>0</f>
        <v>0</v>
      </c>
      <c r="G109" s="215">
        <f>0</f>
        <v>0</v>
      </c>
      <c r="H109" s="215">
        <f>0</f>
        <v>0</v>
      </c>
      <c r="I109" s="215">
        <f>0</f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5">
        <f t="shared" si="4"/>
        <v>0</v>
      </c>
      <c r="Q109" s="6"/>
      <c r="R109" s="6"/>
      <c r="S109" s="6"/>
    </row>
    <row r="110" spans="1:19">
      <c r="A110" s="4">
        <f t="shared" si="5"/>
        <v>99</v>
      </c>
      <c r="B110" s="6"/>
      <c r="C110" s="6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9"/>
      <c r="P110" s="6"/>
      <c r="Q110" s="6"/>
      <c r="R110" s="6"/>
      <c r="S110" s="6"/>
    </row>
    <row r="111" spans="1:19" ht="15.75" thickBot="1">
      <c r="A111" s="4">
        <f t="shared" si="5"/>
        <v>100</v>
      </c>
      <c r="B111" s="6"/>
      <c r="C111" s="6" t="s">
        <v>334</v>
      </c>
      <c r="D111" s="230">
        <f t="shared" ref="D111:O111" si="6">SUM(D14:D110)</f>
        <v>-7658331.7099999897</v>
      </c>
      <c r="E111" s="230">
        <f t="shared" si="6"/>
        <v>-5898687.0200000051</v>
      </c>
      <c r="F111" s="230">
        <f t="shared" si="6"/>
        <v>-4089591.2500000005</v>
      </c>
      <c r="G111" s="230">
        <f t="shared" si="6"/>
        <v>-3275126.7900000024</v>
      </c>
      <c r="H111" s="230">
        <f t="shared" si="6"/>
        <v>-1785227.6200000027</v>
      </c>
      <c r="I111" s="230">
        <f t="shared" si="6"/>
        <v>-2193179.8899999997</v>
      </c>
      <c r="J111" s="231">
        <f t="shared" si="6"/>
        <v>-1550562.7423077184</v>
      </c>
      <c r="K111" s="230">
        <f t="shared" si="6"/>
        <v>-1735768.7129517766</v>
      </c>
      <c r="L111" s="230">
        <f t="shared" si="6"/>
        <v>-978424.71492014197</v>
      </c>
      <c r="M111" s="230">
        <f t="shared" si="6"/>
        <v>-2104038.2431990104</v>
      </c>
      <c r="N111" s="230">
        <f t="shared" si="6"/>
        <v>-3817094.1378346793</v>
      </c>
      <c r="O111" s="230">
        <f t="shared" si="6"/>
        <v>-5389617.1751106689</v>
      </c>
      <c r="P111" s="230">
        <f>SUM(P12:P110)</f>
        <v>-27961663.356357057</v>
      </c>
      <c r="Q111" s="232"/>
      <c r="R111" s="5"/>
      <c r="S111" s="6"/>
    </row>
    <row r="112" spans="1:19" ht="15.75" thickTop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>
      <c r="A113" s="6"/>
      <c r="B113" s="6"/>
      <c r="C113" s="6" t="s">
        <v>335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R113" s="6"/>
      <c r="S113" s="6"/>
    </row>
    <row r="114" spans="1:19">
      <c r="A114" s="6"/>
      <c r="B114" s="6"/>
      <c r="C114" s="233" t="s">
        <v>336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9"/>
      <c r="P114" s="6"/>
      <c r="Q114" s="6"/>
      <c r="R114" s="6"/>
      <c r="S114" s="6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P115" s="6"/>
      <c r="Q115" s="5"/>
      <c r="R115" s="6"/>
      <c r="S115" s="6"/>
    </row>
    <row r="116" spans="1:19">
      <c r="A116" s="6"/>
      <c r="B116" s="6"/>
      <c r="C116" s="6"/>
      <c r="D116" s="6"/>
      <c r="E116" s="6"/>
      <c r="F116" s="6"/>
      <c r="G116" s="6"/>
      <c r="H116" s="6"/>
      <c r="I116" s="6"/>
      <c r="J116" s="5"/>
      <c r="K116" s="5"/>
      <c r="L116" s="6"/>
      <c r="M116" s="6"/>
      <c r="N116" s="6"/>
      <c r="P116" s="9"/>
      <c r="Q116" s="9"/>
      <c r="R116" s="6"/>
      <c r="S116" s="6"/>
    </row>
    <row r="117" spans="1:19">
      <c r="A117" s="6"/>
      <c r="B117" s="6"/>
      <c r="C117" s="233"/>
      <c r="D117" s="6"/>
      <c r="E117" s="6"/>
      <c r="F117" s="5"/>
      <c r="G117" s="6"/>
      <c r="H117" s="6"/>
      <c r="I117" s="6"/>
      <c r="J117" s="5"/>
      <c r="K117" s="5"/>
      <c r="L117" s="6"/>
      <c r="M117" s="6"/>
      <c r="N117" s="6"/>
      <c r="P117" s="214"/>
      <c r="R117" s="6"/>
      <c r="S117" s="6"/>
    </row>
    <row r="118" spans="1:19">
      <c r="A118" s="6"/>
      <c r="B118" s="6"/>
      <c r="C118" s="6"/>
      <c r="D118" s="234"/>
      <c r="E118" s="234"/>
      <c r="F118" s="23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5"/>
      <c r="R118" s="6"/>
      <c r="S118" s="6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6"/>
      <c r="Q119" s="5"/>
      <c r="R119" s="6"/>
      <c r="S119" s="6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P120" s="6"/>
      <c r="Q120" s="6"/>
      <c r="R120" s="6"/>
      <c r="S120" s="6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95"/>
      <c r="P121" s="5"/>
      <c r="Q121" s="6"/>
      <c r="R121" s="6"/>
      <c r="S121" s="6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95"/>
      <c r="P122" s="5"/>
      <c r="Q122" s="6"/>
      <c r="R122" s="6"/>
      <c r="S122" s="6"/>
    </row>
    <row r="123" spans="1:19">
      <c r="A123" s="6"/>
      <c r="B123" s="6"/>
      <c r="C123" s="79"/>
      <c r="D123" s="235"/>
      <c r="E123" s="235"/>
      <c r="F123" s="235"/>
      <c r="G123" s="235"/>
      <c r="H123" s="235"/>
      <c r="I123" s="235"/>
      <c r="J123" s="235"/>
      <c r="K123" s="235"/>
      <c r="L123" s="6"/>
      <c r="M123" s="6"/>
      <c r="N123" s="6"/>
      <c r="O123" s="195"/>
      <c r="P123" s="5"/>
      <c r="Q123" s="6"/>
      <c r="R123" s="6"/>
      <c r="S123" s="6"/>
    </row>
    <row r="124" spans="1:1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33"/>
      <c r="O124" s="195"/>
      <c r="P124" s="5"/>
      <c r="Q124" s="6"/>
      <c r="R124" s="6"/>
      <c r="S124" s="6"/>
    </row>
    <row r="125" spans="1:19">
      <c r="A125" s="6"/>
      <c r="B125" s="6"/>
      <c r="C125" s="7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2"/>
      <c r="P125" s="6"/>
      <c r="Q125" s="6"/>
      <c r="R125" s="6"/>
      <c r="S125" s="6"/>
    </row>
    <row r="126" spans="1:19">
      <c r="A126" s="6"/>
      <c r="B126" s="6"/>
      <c r="C126" s="14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95"/>
      <c r="P126" s="6"/>
      <c r="Q126" s="6"/>
      <c r="R126" s="6"/>
      <c r="S126" s="6"/>
    </row>
    <row r="127" spans="1:19">
      <c r="A127" s="6"/>
      <c r="B127" s="6"/>
      <c r="C127" s="14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95"/>
      <c r="P127" s="5"/>
      <c r="Q127" s="6"/>
      <c r="R127" s="6"/>
      <c r="S127" s="6"/>
    </row>
    <row r="128" spans="1:19">
      <c r="A128" s="6"/>
      <c r="B128" s="6"/>
      <c r="C128" s="14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6"/>
      <c r="Q128" s="6"/>
      <c r="R128" s="6"/>
      <c r="S128" s="6"/>
    </row>
    <row r="129" spans="1:19">
      <c r="A129" s="6"/>
      <c r="B129" s="6"/>
      <c r="C129" s="14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6"/>
      <c r="Q129" s="6"/>
      <c r="R129" s="6"/>
      <c r="S129" s="6"/>
    </row>
    <row r="130" spans="1:19">
      <c r="P130" s="6"/>
    </row>
    <row r="131" spans="1:19">
      <c r="P131" s="6"/>
    </row>
    <row r="132" spans="1:19">
      <c r="P132" s="6"/>
    </row>
    <row r="133" spans="1:19">
      <c r="P133" s="6"/>
    </row>
    <row r="135" spans="1:19"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</row>
    <row r="136" spans="1:19">
      <c r="J136" s="9"/>
      <c r="K136" s="9"/>
      <c r="L136" s="9"/>
      <c r="M136" s="9"/>
      <c r="N136" s="9"/>
      <c r="O136" s="9"/>
    </row>
    <row r="137" spans="1:19">
      <c r="D137" s="168"/>
    </row>
    <row r="139" spans="1:19">
      <c r="J139" s="237"/>
    </row>
    <row r="141" spans="1:19">
      <c r="C141" s="7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5" footer="0.25"/>
  <pageSetup scale="49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BreakPreview" zoomScale="60" zoomScaleNormal="70" workbookViewId="0">
      <pane xSplit="3" ySplit="11" topLeftCell="D12" activePane="bottomRight" state="frozen"/>
      <selection activeCell="E14" sqref="E14"/>
      <selection pane="topRight" activeCell="E14" sqref="E14"/>
      <selection pane="bottomLeft" activeCell="E14" sqref="E14"/>
      <selection pane="bottomRight" sqref="A1:P1"/>
    </sheetView>
  </sheetViews>
  <sheetFormatPr defaultColWidth="7.109375" defaultRowHeight="15"/>
  <cols>
    <col min="1" max="1" width="4.6640625" style="9" customWidth="1"/>
    <col min="2" max="2" width="6.6640625" style="9" customWidth="1"/>
    <col min="3" max="3" width="38.88671875" style="9" customWidth="1"/>
    <col min="4" max="5" width="13.109375" style="9" bestFit="1" customWidth="1"/>
    <col min="6" max="6" width="11.44140625" style="9" customWidth="1"/>
    <col min="7" max="8" width="13.109375" style="9" bestFit="1" customWidth="1"/>
    <col min="9" max="9" width="11.109375" style="9" customWidth="1"/>
    <col min="10" max="10" width="11.6640625" style="9" customWidth="1"/>
    <col min="11" max="14" width="13.109375" style="9" bestFit="1" customWidth="1"/>
    <col min="15" max="15" width="12.44140625" style="9" customWidth="1"/>
    <col min="16" max="16" width="14.109375" style="9" bestFit="1" customWidth="1"/>
    <col min="17" max="17" width="9.109375" style="9" customWidth="1"/>
    <col min="18" max="18" width="12.5546875" style="9" customWidth="1"/>
    <col min="19" max="22" width="7.109375" style="9"/>
    <col min="23" max="23" width="11.33203125" style="9" customWidth="1"/>
    <col min="24" max="24" width="12.5546875" style="9" customWidth="1"/>
    <col min="25" max="16384" width="7.109375" style="9"/>
  </cols>
  <sheetData>
    <row r="1" spans="1:18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</row>
    <row r="2" spans="1:18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</row>
    <row r="3" spans="1:18" ht="15.75">
      <c r="A3" s="308" t="s">
        <v>339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</row>
    <row r="4" spans="1:18">
      <c r="A4" s="308" t="s">
        <v>386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</row>
    <row r="5" spans="1:18">
      <c r="A5" s="5"/>
      <c r="B5" s="238"/>
      <c r="C5" s="238"/>
      <c r="D5" s="238"/>
      <c r="E5" s="238"/>
      <c r="F5" s="238"/>
      <c r="G5" s="239"/>
      <c r="H5" s="196"/>
      <c r="I5" s="238"/>
      <c r="J5" s="238"/>
      <c r="K5" s="238"/>
      <c r="L5" s="238"/>
      <c r="M5" s="238"/>
      <c r="N5" s="238"/>
      <c r="O5" s="238"/>
      <c r="P5" s="5"/>
      <c r="Q5" s="5"/>
    </row>
    <row r="6" spans="1:18" ht="15.75">
      <c r="A6" s="194" t="str">
        <f>'C.2.2 B 09'!A6</f>
        <v>Data:___X____Base Period________Forecasted Period</v>
      </c>
      <c r="B6" s="5"/>
      <c r="C6" s="194"/>
      <c r="D6" s="5"/>
      <c r="E6" s="5"/>
      <c r="F6" s="5"/>
      <c r="G6" s="5"/>
      <c r="H6" s="240"/>
      <c r="I6" s="5"/>
      <c r="K6" s="241"/>
      <c r="L6" s="5"/>
      <c r="M6" s="5"/>
      <c r="N6" s="238"/>
      <c r="O6" s="238"/>
      <c r="P6" s="195" t="s">
        <v>235</v>
      </c>
      <c r="Q6" s="5"/>
    </row>
    <row r="7" spans="1:18">
      <c r="A7" s="194" t="str">
        <f>'C.2.2 B 09'!A7</f>
        <v>Type of Filing:___X____Original________Updated ________Revised</v>
      </c>
      <c r="B7" s="5"/>
      <c r="C7" s="194"/>
      <c r="D7" s="5"/>
      <c r="E7" s="196"/>
      <c r="F7" s="5"/>
      <c r="G7" s="5"/>
      <c r="H7" s="5"/>
      <c r="I7" s="5"/>
      <c r="J7" s="5"/>
      <c r="K7" s="5"/>
      <c r="L7" s="5"/>
      <c r="M7" s="5"/>
      <c r="N7" s="238"/>
      <c r="O7" s="238"/>
      <c r="P7" s="197" t="s">
        <v>236</v>
      </c>
      <c r="Q7" s="5"/>
    </row>
    <row r="8" spans="1:18">
      <c r="A8" s="194" t="str">
        <f>'C.2.2 B 09'!A8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99"/>
      <c r="P8" s="201" t="str">
        <f>C.1!J9</f>
        <v>Witness: Waller, Martin</v>
      </c>
      <c r="Q8" s="5"/>
    </row>
    <row r="9" spans="1:18">
      <c r="A9" s="202" t="s">
        <v>21</v>
      </c>
      <c r="B9" s="203" t="s">
        <v>237</v>
      </c>
      <c r="C9" s="204"/>
      <c r="D9" s="156" t="str">
        <f>'C.2.2 B 09'!D9</f>
        <v>actual</v>
      </c>
      <c r="E9" s="156" t="str">
        <f>'C.2.2 B 09'!F9</f>
        <v>actual</v>
      </c>
      <c r="F9" s="156" t="str">
        <f>'C.2.2 B 09'!F9</f>
        <v>actual</v>
      </c>
      <c r="G9" s="156" t="str">
        <f>'C.2.2 B 09'!G9</f>
        <v>actual</v>
      </c>
      <c r="H9" s="156" t="str">
        <f>'C.2.2 B 09'!H9</f>
        <v>actual</v>
      </c>
      <c r="I9" s="156" t="str">
        <f>'C.2.2 B 09'!I9</f>
        <v>actual</v>
      </c>
      <c r="J9" s="156" t="str">
        <f>'C.2.2 B 09'!J9</f>
        <v>Forecasted</v>
      </c>
      <c r="K9" s="156" t="str">
        <f>'C.2.2 B 09'!K9</f>
        <v>Forecasted</v>
      </c>
      <c r="L9" s="156" t="str">
        <f>'C.2.2 B 09'!L9</f>
        <v>Forecasted</v>
      </c>
      <c r="M9" s="156" t="str">
        <f>'C.2.2 B 09'!M9</f>
        <v>Budgeted</v>
      </c>
      <c r="N9" s="156" t="str">
        <f>'C.2.2 B 09'!N9</f>
        <v>Budgeted</v>
      </c>
      <c r="O9" s="156" t="str">
        <f>'C.2.2 B 09'!O9</f>
        <v>Budgeted</v>
      </c>
      <c r="P9" s="243"/>
      <c r="Q9" s="5"/>
    </row>
    <row r="10" spans="1:18">
      <c r="A10" s="207" t="s">
        <v>24</v>
      </c>
      <c r="B10" s="2" t="s">
        <v>24</v>
      </c>
      <c r="C10" s="208" t="s">
        <v>240</v>
      </c>
      <c r="D10" s="244">
        <f>'C.2.2 B 09'!D10</f>
        <v>42736</v>
      </c>
      <c r="E10" s="244">
        <f>'C.2.2 B 09'!F10</f>
        <v>42795</v>
      </c>
      <c r="F10" s="244">
        <f>'C.2.2 B 09'!F10</f>
        <v>42795</v>
      </c>
      <c r="G10" s="244">
        <f>'C.2.2 B 09'!G10</f>
        <v>42826</v>
      </c>
      <c r="H10" s="244">
        <f>'C.2.2 B 09'!H10</f>
        <v>42856</v>
      </c>
      <c r="I10" s="244">
        <f>'C.2.2 B 09'!I10</f>
        <v>42887</v>
      </c>
      <c r="J10" s="244">
        <f>'C.2.2 B 09'!J10</f>
        <v>42917</v>
      </c>
      <c r="K10" s="244">
        <f>'C.2.2 B 09'!K10</f>
        <v>42948</v>
      </c>
      <c r="L10" s="244">
        <f>'C.2.2 B 09'!L10</f>
        <v>42979</v>
      </c>
      <c r="M10" s="244">
        <f>'C.2.2 B 09'!M10</f>
        <v>43009</v>
      </c>
      <c r="N10" s="244">
        <f>'C.2.2 B 09'!N10</f>
        <v>43040</v>
      </c>
      <c r="O10" s="244">
        <f>'C.2.2 B 09'!O10</f>
        <v>43070</v>
      </c>
      <c r="P10" s="244" t="str">
        <f>'C.2.2 B 09'!P10</f>
        <v>Total</v>
      </c>
      <c r="Q10" s="5"/>
    </row>
    <row r="11" spans="1:18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5"/>
    </row>
    <row r="12" spans="1:18">
      <c r="A12" s="5"/>
      <c r="B12" s="212" t="s">
        <v>218</v>
      </c>
      <c r="C12" s="213" t="s">
        <v>243</v>
      </c>
      <c r="D12" s="215">
        <v>-273263.57000000007</v>
      </c>
      <c r="E12" s="215">
        <v>-98036.37</v>
      </c>
      <c r="F12" s="215">
        <v>819269.8599999994</v>
      </c>
      <c r="G12" s="215">
        <v>1343143.58</v>
      </c>
      <c r="H12" s="215">
        <v>-712768.66</v>
      </c>
      <c r="I12" s="215">
        <v>-257808.63000000082</v>
      </c>
      <c r="J12" s="215"/>
      <c r="K12" s="215"/>
      <c r="L12" s="215"/>
      <c r="M12" s="215"/>
      <c r="N12" s="215"/>
      <c r="O12" s="215"/>
      <c r="P12" s="5">
        <f t="shared" ref="P12:P13" si="0">SUM(D12:O12)</f>
        <v>820536.20999999857</v>
      </c>
      <c r="Q12" s="5"/>
      <c r="R12" s="216"/>
    </row>
    <row r="13" spans="1:18">
      <c r="A13" s="5"/>
      <c r="B13" s="5"/>
      <c r="C13" s="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">
        <f t="shared" si="0"/>
        <v>0</v>
      </c>
      <c r="Q13" s="5"/>
    </row>
    <row r="14" spans="1:18">
      <c r="A14" s="8">
        <v>1</v>
      </c>
      <c r="B14" s="212">
        <v>4030</v>
      </c>
      <c r="C14" s="5" t="s">
        <v>70</v>
      </c>
      <c r="D14" s="215">
        <v>7.2759576141834259E-11</v>
      </c>
      <c r="E14" s="215">
        <v>8.7311491370201111E-11</v>
      </c>
      <c r="F14" s="215">
        <v>0</v>
      </c>
      <c r="G14" s="215">
        <v>-2.9103830456733704E-11</v>
      </c>
      <c r="H14" s="215">
        <v>4.3655745685100555E-11</v>
      </c>
      <c r="I14" s="215">
        <v>-2.3283064365386963E-10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5">
        <f>SUM(D14:O14)</f>
        <v>-5.8207660913467407E-11</v>
      </c>
      <c r="Q14" s="196"/>
      <c r="R14" s="216"/>
    </row>
    <row r="15" spans="1:18">
      <c r="A15" s="8">
        <f>A14+1</f>
        <v>2</v>
      </c>
      <c r="B15" s="212">
        <v>4081</v>
      </c>
      <c r="C15" s="5" t="s">
        <v>246</v>
      </c>
      <c r="D15" s="215">
        <v>2.0000000036361598E-2</v>
      </c>
      <c r="E15" s="215">
        <v>1.9999999945866875E-2</v>
      </c>
      <c r="F15" s="215">
        <v>1.0000000049330993E-2</v>
      </c>
      <c r="G15" s="215">
        <v>-2327847.38</v>
      </c>
      <c r="H15" s="215">
        <v>2327847.3600000003</v>
      </c>
      <c r="I15" s="215">
        <v>180543.63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5">
        <f>SUM(D15:O15)</f>
        <v>180543.66000000027</v>
      </c>
      <c r="Q15" s="196"/>
    </row>
    <row r="16" spans="1:18">
      <c r="A16" s="8"/>
      <c r="B16" s="212">
        <v>8210</v>
      </c>
      <c r="C16" s="213" t="s">
        <v>279</v>
      </c>
      <c r="D16" s="215">
        <v>0</v>
      </c>
      <c r="E16" s="215">
        <v>1500</v>
      </c>
      <c r="F16" s="215">
        <v>0</v>
      </c>
      <c r="G16" s="215">
        <v>0</v>
      </c>
      <c r="H16" s="215">
        <v>0</v>
      </c>
      <c r="I16" s="215">
        <v>0</v>
      </c>
      <c r="J16" s="215">
        <v>423.5462956128523</v>
      </c>
      <c r="K16" s="215">
        <v>411.62308828801838</v>
      </c>
      <c r="L16" s="215">
        <v>476.62346960814978</v>
      </c>
      <c r="M16" s="215">
        <v>470.91723151957916</v>
      </c>
      <c r="N16" s="215">
        <v>414.64895633508735</v>
      </c>
      <c r="O16" s="215">
        <v>452.31893526110503</v>
      </c>
      <c r="P16" s="5">
        <f>SUM(D16:O16)</f>
        <v>4149.6779766247919</v>
      </c>
      <c r="Q16" s="196"/>
    </row>
    <row r="17" spans="1:17">
      <c r="A17" s="8">
        <f>A15+1</f>
        <v>3</v>
      </c>
      <c r="B17" s="212">
        <v>8560</v>
      </c>
      <c r="C17" s="5" t="s">
        <v>288</v>
      </c>
      <c r="D17" s="215">
        <f>0</f>
        <v>0</v>
      </c>
      <c r="E17" s="215">
        <f>0</f>
        <v>0</v>
      </c>
      <c r="F17" s="215">
        <f>0</f>
        <v>0</v>
      </c>
      <c r="G17" s="215">
        <f>0</f>
        <v>0</v>
      </c>
      <c r="H17" s="215">
        <f>0</f>
        <v>0</v>
      </c>
      <c r="I17" s="215">
        <f>0</f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5">
        <f t="shared" ref="P17:P37" si="1">SUM(D17:O17)</f>
        <v>0</v>
      </c>
      <c r="Q17" s="5"/>
    </row>
    <row r="18" spans="1:17">
      <c r="A18" s="8">
        <f t="shared" ref="A18:A42" si="2">A17+1</f>
        <v>4</v>
      </c>
      <c r="B18" s="212">
        <v>8700</v>
      </c>
      <c r="C18" s="5" t="s">
        <v>293</v>
      </c>
      <c r="D18" s="215">
        <v>280.74</v>
      </c>
      <c r="E18" s="215">
        <v>365.24000000000012</v>
      </c>
      <c r="F18" s="215">
        <v>155.97</v>
      </c>
      <c r="G18" s="215">
        <v>155.97</v>
      </c>
      <c r="H18" s="215">
        <v>155.97</v>
      </c>
      <c r="I18" s="215">
        <v>616.26</v>
      </c>
      <c r="J18" s="215">
        <v>516.82248540474279</v>
      </c>
      <c r="K18" s="215">
        <v>506.5946760659059</v>
      </c>
      <c r="L18" s="215">
        <v>509.09226698556967</v>
      </c>
      <c r="M18" s="215">
        <v>513.81746954601999</v>
      </c>
      <c r="N18" s="215">
        <v>506.57359624599889</v>
      </c>
      <c r="O18" s="215">
        <v>507.23532928866837</v>
      </c>
      <c r="P18" s="5">
        <f t="shared" si="1"/>
        <v>4790.2858235369049</v>
      </c>
      <c r="Q18" s="5"/>
    </row>
    <row r="19" spans="1:17">
      <c r="A19" s="8">
        <f t="shared" si="2"/>
        <v>5</v>
      </c>
      <c r="B19" s="212">
        <v>8740</v>
      </c>
      <c r="C19" s="5" t="s">
        <v>297</v>
      </c>
      <c r="D19" s="215">
        <v>1954.3399999999997</v>
      </c>
      <c r="E19" s="215">
        <v>-7920.6399999999994</v>
      </c>
      <c r="F19" s="215">
        <v>4035.44</v>
      </c>
      <c r="G19" s="215">
        <v>4414.1499999999996</v>
      </c>
      <c r="H19" s="215">
        <v>16.680000000000177</v>
      </c>
      <c r="I19" s="215">
        <v>10987</v>
      </c>
      <c r="J19" s="215">
        <v>5378.8344939404551</v>
      </c>
      <c r="K19" s="215">
        <v>5377.8217065185236</v>
      </c>
      <c r="L19" s="215">
        <v>5384.124898112741</v>
      </c>
      <c r="M19" s="215">
        <v>4744.3711112690626</v>
      </c>
      <c r="N19" s="215">
        <v>4744.1859430476197</v>
      </c>
      <c r="O19" s="215">
        <v>4744.2454274134461</v>
      </c>
      <c r="P19" s="5">
        <f t="shared" si="1"/>
        <v>43860.55358030185</v>
      </c>
      <c r="Q19" s="5"/>
    </row>
    <row r="20" spans="1:17">
      <c r="A20" s="8">
        <f t="shared" si="2"/>
        <v>6</v>
      </c>
      <c r="B20" s="212">
        <v>8780</v>
      </c>
      <c r="C20" s="5" t="s">
        <v>301</v>
      </c>
      <c r="D20" s="215">
        <f>0</f>
        <v>0</v>
      </c>
      <c r="E20" s="215">
        <f>0</f>
        <v>0</v>
      </c>
      <c r="F20" s="215">
        <f>0</f>
        <v>0</v>
      </c>
      <c r="G20" s="215">
        <f>0</f>
        <v>0</v>
      </c>
      <c r="H20" s="215">
        <f>0</f>
        <v>0</v>
      </c>
      <c r="I20" s="215">
        <f>0</f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5">
        <f t="shared" si="1"/>
        <v>0</v>
      </c>
      <c r="Q20" s="5"/>
    </row>
    <row r="21" spans="1:17">
      <c r="A21" s="8">
        <f t="shared" si="2"/>
        <v>7</v>
      </c>
      <c r="B21" s="212">
        <v>8800</v>
      </c>
      <c r="C21" s="5" t="s">
        <v>303</v>
      </c>
      <c r="D21" s="215">
        <v>89.61</v>
      </c>
      <c r="E21" s="215">
        <v>7.39</v>
      </c>
      <c r="F21" s="215">
        <v>0</v>
      </c>
      <c r="G21" s="215">
        <v>0</v>
      </c>
      <c r="H21" s="215">
        <v>0</v>
      </c>
      <c r="I21" s="215">
        <v>0</v>
      </c>
      <c r="J21" s="215">
        <v>18.36829697765009</v>
      </c>
      <c r="K21" s="215">
        <v>17.438991308389586</v>
      </c>
      <c r="L21" s="215">
        <v>236.1171342155034</v>
      </c>
      <c r="M21" s="215">
        <v>18.78563811721375</v>
      </c>
      <c r="N21" s="215">
        <v>18.85924639169987</v>
      </c>
      <c r="O21" s="215">
        <v>19.790766511887888</v>
      </c>
      <c r="P21" s="5">
        <f t="shared" si="1"/>
        <v>426.36007352234458</v>
      </c>
      <c r="Q21" s="5"/>
    </row>
    <row r="22" spans="1:17">
      <c r="A22" s="8">
        <f t="shared" si="2"/>
        <v>8</v>
      </c>
      <c r="B22" s="212">
        <v>8900</v>
      </c>
      <c r="C22" s="9" t="s">
        <v>309</v>
      </c>
      <c r="D22" s="215">
        <v>0</v>
      </c>
      <c r="E22" s="215">
        <v>0</v>
      </c>
      <c r="F22" s="215">
        <v>248.29</v>
      </c>
      <c r="G22" s="215">
        <v>0</v>
      </c>
      <c r="H22" s="215">
        <v>0</v>
      </c>
      <c r="I22" s="215">
        <v>0</v>
      </c>
      <c r="J22" s="215">
        <v>50.602862814680002</v>
      </c>
      <c r="K22" s="215">
        <v>50.952118959891742</v>
      </c>
      <c r="L22" s="215">
        <v>50.324503923571136</v>
      </c>
      <c r="M22" s="215">
        <v>52.488036317314069</v>
      </c>
      <c r="N22" s="215">
        <v>52.053354792158686</v>
      </c>
      <c r="O22" s="215">
        <v>51.845893155152702</v>
      </c>
      <c r="P22" s="5">
        <f t="shared" si="1"/>
        <v>556.55676996276827</v>
      </c>
      <c r="Q22" s="5"/>
    </row>
    <row r="23" spans="1:17">
      <c r="A23" s="8">
        <f t="shared" si="2"/>
        <v>9</v>
      </c>
      <c r="B23" s="212">
        <v>9010</v>
      </c>
      <c r="C23" s="5" t="s">
        <v>314</v>
      </c>
      <c r="D23" s="215">
        <v>0</v>
      </c>
      <c r="E23" s="215">
        <v>0</v>
      </c>
      <c r="F23" s="215">
        <v>0</v>
      </c>
      <c r="G23" s="215">
        <v>4879.2</v>
      </c>
      <c r="H23" s="215">
        <v>0</v>
      </c>
      <c r="I23" s="215">
        <v>0</v>
      </c>
      <c r="J23" s="215">
        <v>1356.7392632040005</v>
      </c>
      <c r="K23" s="215">
        <v>1300.0119606804649</v>
      </c>
      <c r="L23" s="215">
        <v>1500.8050317341265</v>
      </c>
      <c r="M23" s="215">
        <v>1489.0660069452254</v>
      </c>
      <c r="N23" s="215">
        <v>1319.3353415886788</v>
      </c>
      <c r="O23" s="215">
        <v>1434.3382072361674</v>
      </c>
      <c r="P23" s="5">
        <f t="shared" si="1"/>
        <v>13279.495811388664</v>
      </c>
      <c r="Q23" s="5"/>
    </row>
    <row r="24" spans="1:17">
      <c r="A24" s="8">
        <f t="shared" si="2"/>
        <v>10</v>
      </c>
      <c r="B24" s="212">
        <v>9030</v>
      </c>
      <c r="C24" s="5" t="s">
        <v>316</v>
      </c>
      <c r="D24" s="215">
        <v>123041.54999999999</v>
      </c>
      <c r="E24" s="215">
        <v>78422.819999999992</v>
      </c>
      <c r="F24" s="215">
        <v>-46797.619999999995</v>
      </c>
      <c r="G24" s="215">
        <v>5338.03</v>
      </c>
      <c r="H24" s="215">
        <v>4231.3500000000004</v>
      </c>
      <c r="I24" s="215">
        <v>5818.82</v>
      </c>
      <c r="J24" s="215">
        <v>24390.307286407624</v>
      </c>
      <c r="K24" s="215">
        <v>26731.579064976118</v>
      </c>
      <c r="L24" s="215">
        <v>24568.037129409451</v>
      </c>
      <c r="M24" s="215">
        <v>26940.267740942043</v>
      </c>
      <c r="N24" s="215">
        <v>26811.203770539381</v>
      </c>
      <c r="O24" s="215">
        <v>25705.083707587506</v>
      </c>
      <c r="P24" s="5">
        <f t="shared" si="1"/>
        <v>325201.42869986215</v>
      </c>
      <c r="Q24" s="5"/>
    </row>
    <row r="25" spans="1:17">
      <c r="A25" s="8">
        <f t="shared" si="2"/>
        <v>11</v>
      </c>
      <c r="B25" s="212">
        <v>9100</v>
      </c>
      <c r="C25" s="5" t="s">
        <v>319</v>
      </c>
      <c r="D25" s="215">
        <v>10825</v>
      </c>
      <c r="E25" s="215">
        <v>0</v>
      </c>
      <c r="F25" s="215">
        <v>143.68</v>
      </c>
      <c r="G25" s="215">
        <v>0</v>
      </c>
      <c r="H25" s="215">
        <v>0</v>
      </c>
      <c r="I25" s="215">
        <v>0</v>
      </c>
      <c r="J25" s="215">
        <v>2090.4341577642463</v>
      </c>
      <c r="K25" s="215">
        <v>1985.5834768833161</v>
      </c>
      <c r="L25" s="215">
        <v>26395.839512407056</v>
      </c>
      <c r="M25" s="215">
        <v>2141.5460724897412</v>
      </c>
      <c r="N25" s="215">
        <v>2144.370853633749</v>
      </c>
      <c r="O25" s="215">
        <v>2251.9348601014171</v>
      </c>
      <c r="P25" s="5">
        <f t="shared" si="1"/>
        <v>47978.388933279522</v>
      </c>
      <c r="Q25" s="5"/>
    </row>
    <row r="26" spans="1:17">
      <c r="A26" s="8">
        <f t="shared" si="2"/>
        <v>12</v>
      </c>
      <c r="B26" s="212">
        <v>9120</v>
      </c>
      <c r="C26" s="213" t="s">
        <v>321</v>
      </c>
      <c r="D26" s="215">
        <v>0</v>
      </c>
      <c r="E26" s="215">
        <v>0</v>
      </c>
      <c r="F26" s="215">
        <v>703.63</v>
      </c>
      <c r="G26" s="215">
        <v>0</v>
      </c>
      <c r="H26" s="215">
        <v>0</v>
      </c>
      <c r="I26" s="215">
        <v>32.42</v>
      </c>
      <c r="J26" s="215">
        <v>172.51999925168758</v>
      </c>
      <c r="K26" s="215">
        <v>172.56560271629655</v>
      </c>
      <c r="L26" s="215">
        <v>194.62620494801794</v>
      </c>
      <c r="M26" s="215">
        <v>213.95393476260338</v>
      </c>
      <c r="N26" s="215">
        <v>172.70939451492757</v>
      </c>
      <c r="O26" s="215">
        <v>220.04825550504253</v>
      </c>
      <c r="P26" s="5">
        <f t="shared" si="1"/>
        <v>1882.4733916985756</v>
      </c>
      <c r="Q26" s="5"/>
    </row>
    <row r="27" spans="1:17">
      <c r="A27" s="8">
        <f t="shared" si="2"/>
        <v>13</v>
      </c>
      <c r="B27" s="212">
        <v>9200</v>
      </c>
      <c r="C27" s="5" t="s">
        <v>323</v>
      </c>
      <c r="D27" s="215">
        <v>-538447.11999999895</v>
      </c>
      <c r="E27" s="215">
        <v>2507033.6699999995</v>
      </c>
      <c r="F27" s="215">
        <v>-5517789.9199999971</v>
      </c>
      <c r="G27" s="215">
        <v>-564879.08999999939</v>
      </c>
      <c r="H27" s="215">
        <v>-1149809.3399999987</v>
      </c>
      <c r="I27" s="215">
        <v>-3208563.5699999994</v>
      </c>
      <c r="J27" s="215">
        <v>-1639618.9076122977</v>
      </c>
      <c r="K27" s="215">
        <v>-705125.68388575269</v>
      </c>
      <c r="L27" s="215">
        <v>-663097.88509027148</v>
      </c>
      <c r="M27" s="215">
        <v>-1269481.9665148593</v>
      </c>
      <c r="N27" s="215">
        <v>-1302282.727746618</v>
      </c>
      <c r="O27" s="215">
        <v>-1431636.133695106</v>
      </c>
      <c r="P27" s="5">
        <f t="shared" si="1"/>
        <v>-15483698.674544901</v>
      </c>
      <c r="Q27" s="5"/>
    </row>
    <row r="28" spans="1:17">
      <c r="A28" s="8">
        <f t="shared" si="2"/>
        <v>14</v>
      </c>
      <c r="B28" s="212">
        <v>9210</v>
      </c>
      <c r="C28" s="5" t="s">
        <v>324</v>
      </c>
      <c r="D28" s="215">
        <v>1879091.5199999977</v>
      </c>
      <c r="E28" s="215">
        <v>1803283.3399999996</v>
      </c>
      <c r="F28" s="215">
        <v>1780993.9900000005</v>
      </c>
      <c r="G28" s="215">
        <v>1994425.5500000003</v>
      </c>
      <c r="H28" s="215">
        <v>2051435.4400000004</v>
      </c>
      <c r="I28" s="215">
        <v>1876271.4200000002</v>
      </c>
      <c r="J28" s="215">
        <v>2607273.6526799188</v>
      </c>
      <c r="K28" s="215">
        <v>2449387.6504938374</v>
      </c>
      <c r="L28" s="215">
        <v>4656066.7460692907</v>
      </c>
      <c r="M28" s="215">
        <v>2947347.0606119558</v>
      </c>
      <c r="N28" s="215">
        <v>2478371.1901257671</v>
      </c>
      <c r="O28" s="215">
        <v>2661407.3268217808</v>
      </c>
      <c r="P28" s="5">
        <f t="shared" si="1"/>
        <v>29185354.88680255</v>
      </c>
      <c r="Q28" s="5"/>
    </row>
    <row r="29" spans="1:17">
      <c r="A29" s="8">
        <f t="shared" si="2"/>
        <v>15</v>
      </c>
      <c r="B29" s="212">
        <v>9220</v>
      </c>
      <c r="C29" s="5" t="s">
        <v>325</v>
      </c>
      <c r="D29" s="215">
        <v>-9503163.1400000062</v>
      </c>
      <c r="E29" s="215">
        <v>-10347930.919999998</v>
      </c>
      <c r="F29" s="215">
        <v>-8779190.9300000053</v>
      </c>
      <c r="G29" s="215">
        <v>-8550668.129999999</v>
      </c>
      <c r="H29" s="215">
        <v>-11459070.680000009</v>
      </c>
      <c r="I29" s="215">
        <v>-3001889.7900000028</v>
      </c>
      <c r="J29" s="245">
        <f t="shared" ref="J29:O29" si="3">-(SUM(J14:J28,J30:J37))</f>
        <v>-9254552.0799999982</v>
      </c>
      <c r="K29" s="245">
        <f t="shared" si="3"/>
        <v>-7991396.0199999986</v>
      </c>
      <c r="L29" s="245">
        <f t="shared" si="3"/>
        <v>-20713014.309999995</v>
      </c>
      <c r="M29" s="245">
        <f t="shared" si="3"/>
        <v>-8551321.3532726411</v>
      </c>
      <c r="N29" s="245">
        <f t="shared" si="3"/>
        <v>-8530737.4914911203</v>
      </c>
      <c r="O29" s="245">
        <f t="shared" si="3"/>
        <v>-8603953.6960281041</v>
      </c>
      <c r="P29" s="5">
        <f t="shared" si="1"/>
        <v>-115286888.54079187</v>
      </c>
      <c r="Q29" s="196"/>
    </row>
    <row r="30" spans="1:17">
      <c r="A30" s="8">
        <f t="shared" si="2"/>
        <v>16</v>
      </c>
      <c r="B30" s="212">
        <v>9230</v>
      </c>
      <c r="C30" s="5" t="s">
        <v>326</v>
      </c>
      <c r="D30" s="215">
        <v>706893.02</v>
      </c>
      <c r="E30" s="215">
        <v>754577.54000000015</v>
      </c>
      <c r="F30" s="215">
        <v>661736.9</v>
      </c>
      <c r="G30" s="215">
        <v>848668.5</v>
      </c>
      <c r="H30" s="215">
        <v>797262.56000000017</v>
      </c>
      <c r="I30" s="215">
        <v>865257.68</v>
      </c>
      <c r="J30" s="215">
        <v>881857.94378112059</v>
      </c>
      <c r="K30" s="215">
        <v>835742.85722650134</v>
      </c>
      <c r="L30" s="215">
        <v>11036675.926387258</v>
      </c>
      <c r="M30" s="215">
        <v>904989.26648231968</v>
      </c>
      <c r="N30" s="215">
        <v>902452.16740749427</v>
      </c>
      <c r="O30" s="215">
        <v>947969.71947690879</v>
      </c>
      <c r="P30" s="5">
        <f t="shared" si="1"/>
        <v>20144084.080761604</v>
      </c>
      <c r="Q30" s="5"/>
    </row>
    <row r="31" spans="1:17">
      <c r="A31" s="8">
        <f t="shared" si="2"/>
        <v>17</v>
      </c>
      <c r="B31" s="212">
        <v>9240</v>
      </c>
      <c r="C31" s="5" t="s">
        <v>327</v>
      </c>
      <c r="D31" s="215">
        <v>49861.919999999998</v>
      </c>
      <c r="E31" s="215">
        <v>13327.54</v>
      </c>
      <c r="F31" s="215">
        <v>11426.37</v>
      </c>
      <c r="G31" s="215">
        <v>11426.37</v>
      </c>
      <c r="H31" s="215">
        <v>11426.37</v>
      </c>
      <c r="I31" s="215">
        <v>11426.37</v>
      </c>
      <c r="J31" s="215">
        <v>20336.04277788911</v>
      </c>
      <c r="K31" s="215">
        <v>20274.640560847598</v>
      </c>
      <c r="L31" s="215">
        <v>20366.041226602123</v>
      </c>
      <c r="M31" s="215">
        <v>22658.948268776498</v>
      </c>
      <c r="N31" s="215">
        <v>20756.558708245342</v>
      </c>
      <c r="O31" s="215">
        <v>21456.099886766111</v>
      </c>
      <c r="P31" s="5">
        <f t="shared" si="1"/>
        <v>234743.27142912676</v>
      </c>
      <c r="Q31" s="5"/>
    </row>
    <row r="32" spans="1:17">
      <c r="A32" s="8">
        <f t="shared" si="2"/>
        <v>18</v>
      </c>
      <c r="B32" s="212">
        <v>9250</v>
      </c>
      <c r="C32" s="5" t="s">
        <v>328</v>
      </c>
      <c r="D32" s="215">
        <v>1662084.3299999996</v>
      </c>
      <c r="E32" s="215">
        <v>1665651.13</v>
      </c>
      <c r="F32" s="215">
        <v>-465576.55000000022</v>
      </c>
      <c r="G32" s="215">
        <v>1612256.64</v>
      </c>
      <c r="H32" s="215">
        <v>1654705.59</v>
      </c>
      <c r="I32" s="215">
        <v>648483.03</v>
      </c>
      <c r="J32" s="215">
        <v>1715472.7612450174</v>
      </c>
      <c r="K32" s="215">
        <v>1716520.9233456436</v>
      </c>
      <c r="L32" s="215">
        <v>1715472.7273707348</v>
      </c>
      <c r="M32" s="215">
        <v>1729364.9426112939</v>
      </c>
      <c r="N32" s="215">
        <v>1744076.5826708793</v>
      </c>
      <c r="O32" s="215">
        <v>1743542.5242013182</v>
      </c>
      <c r="P32" s="5">
        <f t="shared" si="1"/>
        <v>17142054.631444886</v>
      </c>
      <c r="Q32" s="5"/>
    </row>
    <row r="33" spans="1:18">
      <c r="A33" s="8">
        <f t="shared" si="2"/>
        <v>19</v>
      </c>
      <c r="B33" s="212">
        <v>9260</v>
      </c>
      <c r="C33" s="5" t="s">
        <v>329</v>
      </c>
      <c r="D33" s="215">
        <v>4593478.3000000017</v>
      </c>
      <c r="E33" s="215">
        <v>2675101.0300000012</v>
      </c>
      <c r="F33" s="215">
        <v>6938585.0599999875</v>
      </c>
      <c r="G33" s="215">
        <v>3861946.7700000009</v>
      </c>
      <c r="H33" s="215">
        <v>7562267.4600000028</v>
      </c>
      <c r="I33" s="215">
        <v>1252928.2299999979</v>
      </c>
      <c r="J33" s="215">
        <v>4909090.1976788631</v>
      </c>
      <c r="K33" s="215">
        <v>2916522.0053443448</v>
      </c>
      <c r="L33" s="215">
        <v>2750996.9645346291</v>
      </c>
      <c r="M33" s="215">
        <v>3367421.9795244248</v>
      </c>
      <c r="N33" s="215">
        <v>3867345.4674175465</v>
      </c>
      <c r="O33" s="215">
        <v>3631246.6032994143</v>
      </c>
      <c r="P33" s="5">
        <f t="shared" si="1"/>
        <v>48326930.067799218</v>
      </c>
      <c r="Q33" s="5"/>
    </row>
    <row r="34" spans="1:18">
      <c r="A34" s="8">
        <f t="shared" si="2"/>
        <v>20</v>
      </c>
      <c r="B34" s="212">
        <v>9301</v>
      </c>
      <c r="C34" s="5" t="s">
        <v>340</v>
      </c>
      <c r="D34" s="215">
        <f>0</f>
        <v>0</v>
      </c>
      <c r="E34" s="215">
        <f>0</f>
        <v>0</v>
      </c>
      <c r="F34" s="215">
        <f>0</f>
        <v>0</v>
      </c>
      <c r="G34" s="215">
        <f>0</f>
        <v>0</v>
      </c>
      <c r="H34" s="215">
        <f>0</f>
        <v>0</v>
      </c>
      <c r="I34" s="215">
        <f>0</f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5">
        <f t="shared" si="1"/>
        <v>0</v>
      </c>
      <c r="Q34" s="5"/>
    </row>
    <row r="35" spans="1:18">
      <c r="A35" s="8">
        <f t="shared" si="2"/>
        <v>21</v>
      </c>
      <c r="B35" s="212">
        <v>9302</v>
      </c>
      <c r="C35" s="5" t="s">
        <v>332</v>
      </c>
      <c r="D35" s="215">
        <v>595052.67999999993</v>
      </c>
      <c r="E35" s="215">
        <v>449836.70999999996</v>
      </c>
      <c r="F35" s="215">
        <v>3023947.0500000012</v>
      </c>
      <c r="G35" s="215">
        <v>394237</v>
      </c>
      <c r="H35" s="215">
        <v>187444.52</v>
      </c>
      <c r="I35" s="215">
        <v>257864.97999999998</v>
      </c>
      <c r="J35" s="215">
        <v>259225.88167530487</v>
      </c>
      <c r="K35" s="215">
        <v>255562.14422099316</v>
      </c>
      <c r="L35" s="215">
        <v>595798.88770096307</v>
      </c>
      <c r="M35" s="215">
        <v>256849.68235021725</v>
      </c>
      <c r="N35" s="215">
        <v>236088.82688873549</v>
      </c>
      <c r="O35" s="215">
        <v>475499.21606570622</v>
      </c>
      <c r="P35" s="5">
        <f t="shared" si="1"/>
        <v>6987407.5789019205</v>
      </c>
      <c r="Q35" s="5"/>
    </row>
    <row r="36" spans="1:18">
      <c r="A36" s="8">
        <f t="shared" si="2"/>
        <v>22</v>
      </c>
      <c r="B36" s="212">
        <v>9310</v>
      </c>
      <c r="C36" s="5" t="s">
        <v>209</v>
      </c>
      <c r="D36" s="215">
        <v>428689.95000000013</v>
      </c>
      <c r="E36" s="215">
        <v>449036.42000000004</v>
      </c>
      <c r="F36" s="215">
        <v>438477.07000000007</v>
      </c>
      <c r="G36" s="215">
        <v>474772.79000000004</v>
      </c>
      <c r="H36" s="215">
        <v>453249.64</v>
      </c>
      <c r="I36" s="215">
        <v>212237.21999999994</v>
      </c>
      <c r="J36" s="215">
        <v>436383.90940761549</v>
      </c>
      <c r="K36" s="215">
        <v>436006.92762932001</v>
      </c>
      <c r="L36" s="215">
        <v>520140.70334291004</v>
      </c>
      <c r="M36" s="215">
        <v>516849.59033918037</v>
      </c>
      <c r="N36" s="215">
        <v>516228.91780010139</v>
      </c>
      <c r="O36" s="215">
        <v>485351.08633891132</v>
      </c>
      <c r="P36" s="5">
        <f t="shared" si="1"/>
        <v>5367424.2248580381</v>
      </c>
      <c r="Q36" s="5"/>
    </row>
    <row r="37" spans="1:18">
      <c r="A37" s="8">
        <f t="shared" si="2"/>
        <v>23</v>
      </c>
      <c r="B37" s="212">
        <v>9320</v>
      </c>
      <c r="C37" s="5" t="s">
        <v>333</v>
      </c>
      <c r="D37" s="215">
        <v>16630.04</v>
      </c>
      <c r="E37" s="215">
        <v>4065.24</v>
      </c>
      <c r="F37" s="215">
        <v>41241.620000000003</v>
      </c>
      <c r="G37" s="215">
        <v>22521.310000000005</v>
      </c>
      <c r="H37" s="215">
        <v>33625.659999999996</v>
      </c>
      <c r="I37" s="215">
        <v>28692.5</v>
      </c>
      <c r="J37" s="215">
        <v>30132.423225189512</v>
      </c>
      <c r="K37" s="215">
        <v>29950.384377867791</v>
      </c>
      <c r="L37" s="215">
        <v>21278.608306535567</v>
      </c>
      <c r="M37" s="215">
        <v>38736.636357422547</v>
      </c>
      <c r="N37" s="215">
        <v>31516.567761880207</v>
      </c>
      <c r="O37" s="215">
        <v>33730.41225034363</v>
      </c>
      <c r="P37" s="5">
        <f t="shared" si="1"/>
        <v>332121.40227923932</v>
      </c>
      <c r="Q37" s="5"/>
    </row>
    <row r="38" spans="1:18" ht="15.75" thickBot="1">
      <c r="A38" s="8">
        <f t="shared" si="2"/>
        <v>24</v>
      </c>
      <c r="B38" s="5" t="s">
        <v>334</v>
      </c>
      <c r="C38" s="246"/>
      <c r="D38" s="247">
        <f t="shared" ref="D38:O38" si="4">SUM(D14:D37)</f>
        <v>26362.759999993395</v>
      </c>
      <c r="E38" s="247">
        <f t="shared" si="4"/>
        <v>46356.530000002014</v>
      </c>
      <c r="F38" s="247">
        <f t="shared" si="4"/>
        <v>-1907659.9400000132</v>
      </c>
      <c r="G38" s="247">
        <f t="shared" si="4"/>
        <v>-2208352.3199999975</v>
      </c>
      <c r="H38" s="247">
        <f t="shared" si="4"/>
        <v>2474788.5799999973</v>
      </c>
      <c r="I38" s="247">
        <f t="shared" si="4"/>
        <v>-859293.80000000447</v>
      </c>
      <c r="J38" s="247">
        <f t="shared" si="4"/>
        <v>1.6407284419983625E-9</v>
      </c>
      <c r="K38" s="247">
        <f t="shared" si="4"/>
        <v>1.0986695997416973E-9</v>
      </c>
      <c r="L38" s="247">
        <f t="shared" si="4"/>
        <v>1.7935235518962145E-9</v>
      </c>
      <c r="M38" s="247">
        <f t="shared" si="4"/>
        <v>-6.6211214289069176E-10</v>
      </c>
      <c r="N38" s="247">
        <f t="shared" si="4"/>
        <v>8.5128704085946083E-10</v>
      </c>
      <c r="O38" s="247">
        <f t="shared" si="4"/>
        <v>-8.9494278654456139E-10</v>
      </c>
      <c r="P38" s="247">
        <f>SUM(P14:P37)</f>
        <v>-2427798.1900000274</v>
      </c>
      <c r="Q38" s="5"/>
    </row>
    <row r="39" spans="1:18" ht="15.75" thickTop="1">
      <c r="A39" s="8">
        <f t="shared" si="2"/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8">
      <c r="A40" s="8">
        <f t="shared" si="2"/>
        <v>26</v>
      </c>
      <c r="B40" s="212">
        <f>B29</f>
        <v>9220</v>
      </c>
      <c r="C40" s="212" t="str">
        <f>C29</f>
        <v>A&amp;G-Administrative expense transferred-Credit</v>
      </c>
      <c r="D40" s="248">
        <f>D29</f>
        <v>-9503163.1400000062</v>
      </c>
      <c r="E40" s="248">
        <f t="shared" ref="E40:I40" si="5">E29</f>
        <v>-10347930.919999998</v>
      </c>
      <c r="F40" s="248">
        <f t="shared" si="5"/>
        <v>-8779190.9300000053</v>
      </c>
      <c r="G40" s="248">
        <f t="shared" si="5"/>
        <v>-8550668.129999999</v>
      </c>
      <c r="H40" s="248">
        <f t="shared" si="5"/>
        <v>-11459070.680000009</v>
      </c>
      <c r="I40" s="248">
        <f t="shared" si="5"/>
        <v>-3001889.7900000028</v>
      </c>
      <c r="J40" s="248">
        <f t="shared" ref="J40:K40" si="6">-(J38-J29)</f>
        <v>-9254552.0800000001</v>
      </c>
      <c r="K40" s="248">
        <f t="shared" si="6"/>
        <v>-7991396.0199999996</v>
      </c>
      <c r="L40" s="248">
        <f>L29</f>
        <v>-20713014.309999995</v>
      </c>
      <c r="M40" s="248">
        <f>M29</f>
        <v>-8551321.3532726411</v>
      </c>
      <c r="N40" s="248">
        <f>N29</f>
        <v>-8530737.4914911203</v>
      </c>
      <c r="O40" s="248">
        <f>O29</f>
        <v>-8603953.6960281041</v>
      </c>
      <c r="P40" s="5">
        <f t="shared" ref="P40" si="7">SUM(D40:O40)</f>
        <v>-115286888.54079187</v>
      </c>
      <c r="Q40" s="5"/>
    </row>
    <row r="41" spans="1:18">
      <c r="A41" s="8">
        <f t="shared" si="2"/>
        <v>27</v>
      </c>
      <c r="B41" s="5"/>
      <c r="C41" s="249" t="s">
        <v>341</v>
      </c>
      <c r="D41" s="250">
        <f>D42/D40</f>
        <v>5.8185640070996365E-2</v>
      </c>
      <c r="E41" s="250">
        <f t="shared" ref="E41:I41" si="8">E42/E40</f>
        <v>5.5680180362085385E-2</v>
      </c>
      <c r="F41" s="250">
        <f t="shared" si="8"/>
        <v>5.7991083012019613E-2</v>
      </c>
      <c r="G41" s="250">
        <f t="shared" si="8"/>
        <v>5.8175113621208932E-2</v>
      </c>
      <c r="H41" s="250">
        <f t="shared" si="8"/>
        <v>5.62968488470829E-2</v>
      </c>
      <c r="I41" s="250">
        <f t="shared" si="8"/>
        <v>7.1022474146194364E-2</v>
      </c>
      <c r="J41" s="250">
        <v>5.2010158342223917E-2</v>
      </c>
      <c r="K41" s="250">
        <v>5.2010158342223917E-2</v>
      </c>
      <c r="L41" s="250">
        <v>5.2010158342223917E-2</v>
      </c>
      <c r="M41" s="250">
        <v>5.2010158342223917E-2</v>
      </c>
      <c r="N41" s="250">
        <v>5.2010158342223917E-2</v>
      </c>
      <c r="O41" s="250">
        <v>5.2010158342223917E-2</v>
      </c>
      <c r="P41" s="250">
        <f t="shared" ref="P41" si="9">P42/P40</f>
        <v>5.4682450751083987E-2</v>
      </c>
      <c r="Q41" s="5"/>
      <c r="R41" s="216"/>
    </row>
    <row r="42" spans="1:18">
      <c r="A42" s="8">
        <f t="shared" si="2"/>
        <v>28</v>
      </c>
      <c r="B42" s="5"/>
      <c r="C42" s="5" t="s">
        <v>342</v>
      </c>
      <c r="D42" s="5">
        <v>-552947.63</v>
      </c>
      <c r="E42" s="5">
        <v>-576174.66</v>
      </c>
      <c r="F42" s="5">
        <v>-509114.79</v>
      </c>
      <c r="G42" s="5">
        <v>-497436.09</v>
      </c>
      <c r="H42" s="5">
        <v>-645109.56999999995</v>
      </c>
      <c r="I42" s="5">
        <v>-213201.64</v>
      </c>
      <c r="J42" s="5">
        <f t="shared" ref="J42:O42" si="10">J40*J41</f>
        <v>-481330.71906715771</v>
      </c>
      <c r="K42" s="5">
        <f t="shared" si="10"/>
        <v>-415633.77237561799</v>
      </c>
      <c r="L42" s="5">
        <f t="shared" si="10"/>
        <v>-1077287.1540078495</v>
      </c>
      <c r="M42" s="5">
        <f t="shared" si="10"/>
        <v>-444755.57761895057</v>
      </c>
      <c r="N42" s="5">
        <f t="shared" si="10"/>
        <v>-443685.00770839921</v>
      </c>
      <c r="O42" s="5">
        <f t="shared" si="10"/>
        <v>-447492.99409958441</v>
      </c>
      <c r="P42" s="5">
        <f>SUM(D42:O42)</f>
        <v>-6304169.6048775604</v>
      </c>
      <c r="Q42" s="5"/>
      <c r="R42" s="216"/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190"/>
      <c r="Q43" s="5"/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0"/>
      <c r="P44" s="190"/>
      <c r="Q44" s="5"/>
    </row>
    <row r="45" spans="1:18">
      <c r="A45" s="5"/>
      <c r="B45" s="5" t="s">
        <v>343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0"/>
      <c r="P45" s="190"/>
      <c r="Q45" s="5"/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96"/>
      <c r="Q46" s="5"/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90"/>
      <c r="Q47" s="5"/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90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90"/>
      <c r="Q49" s="251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52"/>
      <c r="P50" s="190"/>
      <c r="Q50" s="253"/>
    </row>
    <row r="51" spans="1:17">
      <c r="A51" s="5"/>
      <c r="B51" s="5"/>
      <c r="C51" s="195"/>
      <c r="D51" s="8"/>
      <c r="E51" s="254"/>
      <c r="F51" s="254"/>
      <c r="G51" s="8"/>
      <c r="H51" s="8"/>
      <c r="I51" s="8"/>
      <c r="J51" s="254"/>
      <c r="K51" s="254"/>
      <c r="L51" s="8"/>
      <c r="M51" s="8"/>
      <c r="N51" s="8"/>
      <c r="O51" s="8"/>
      <c r="P51" s="190"/>
      <c r="Q51" s="253"/>
    </row>
    <row r="52" spans="1:17">
      <c r="A52" s="5"/>
      <c r="B52" s="5"/>
      <c r="C52" s="5"/>
      <c r="D52" s="39"/>
      <c r="E52" s="39"/>
      <c r="F52" s="39"/>
      <c r="G52" s="39"/>
      <c r="H52" s="39"/>
      <c r="I52" s="39"/>
      <c r="J52" s="39"/>
      <c r="K52" s="255"/>
      <c r="L52" s="255"/>
      <c r="M52" s="255"/>
      <c r="N52" s="255"/>
      <c r="O52" s="195"/>
      <c r="P52" s="190"/>
      <c r="Q52" s="253"/>
    </row>
    <row r="53" spans="1:17">
      <c r="A53" s="5"/>
      <c r="B53" s="196"/>
      <c r="C53" s="19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0"/>
      <c r="P53" s="190"/>
      <c r="Q53" s="253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53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196"/>
      <c r="D57" s="5"/>
      <c r="E57" s="5"/>
      <c r="F57" s="5"/>
      <c r="G57" s="5"/>
      <c r="H57" s="5"/>
      <c r="I57" s="5"/>
      <c r="J57" s="5"/>
      <c r="K57" s="5"/>
      <c r="L57" s="5"/>
      <c r="M57" s="216"/>
      <c r="N57" s="5"/>
      <c r="O57" s="5"/>
      <c r="P57" s="5"/>
      <c r="Q57" s="5"/>
    </row>
    <row r="58" spans="1:17">
      <c r="A58" s="5"/>
      <c r="B58" s="5"/>
      <c r="C58" s="19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O59" s="195"/>
    </row>
    <row r="60" spans="1:17">
      <c r="O60" s="195"/>
    </row>
    <row r="61" spans="1:17">
      <c r="O61" s="195"/>
    </row>
    <row r="63" spans="1:17">
      <c r="C63" s="19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5" footer="0.25"/>
  <pageSetup scale="49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9" customWidth="1"/>
    <col min="2" max="2" width="7.21875" style="9" customWidth="1"/>
    <col min="3" max="3" width="54.21875" style="9" customWidth="1"/>
    <col min="4" max="4" width="13.109375" style="9" bestFit="1" customWidth="1"/>
    <col min="5" max="6" width="11.109375" style="9" customWidth="1"/>
    <col min="7" max="8" width="13.109375" style="9" bestFit="1" customWidth="1"/>
    <col min="9" max="9" width="11.109375" style="9" customWidth="1"/>
    <col min="10" max="10" width="10.88671875" style="9" customWidth="1"/>
    <col min="11" max="14" width="13.109375" style="9" bestFit="1" customWidth="1"/>
    <col min="15" max="15" width="12.44140625" style="9" customWidth="1"/>
    <col min="16" max="16" width="12.44140625" style="9" bestFit="1" customWidth="1"/>
    <col min="17" max="17" width="12.44140625" style="9" customWidth="1"/>
    <col min="18" max="18" width="12.5546875" style="9" customWidth="1"/>
    <col min="19" max="19" width="11.33203125" style="9" bestFit="1" customWidth="1"/>
    <col min="20" max="16384" width="7.109375" style="9"/>
  </cols>
  <sheetData>
    <row r="1" spans="1:17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</row>
    <row r="2" spans="1:17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</row>
    <row r="3" spans="1:17" ht="15.75">
      <c r="A3" s="308" t="s">
        <v>344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</row>
    <row r="4" spans="1:17">
      <c r="A4" s="308" t="s">
        <v>386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</row>
    <row r="5" spans="1:17">
      <c r="A5" s="5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5"/>
      <c r="Q5" s="5"/>
    </row>
    <row r="6" spans="1:17" ht="15.75">
      <c r="A6" s="194" t="str">
        <f>'C.2.2 B 09'!A6</f>
        <v>Data:___X____Base Period________Forecasted Period</v>
      </c>
      <c r="B6" s="5"/>
      <c r="C6" s="194"/>
      <c r="D6" s="24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</row>
    <row r="7" spans="1:17">
      <c r="A7" s="194" t="str">
        <f>'C.2.2 B 09'!A7</f>
        <v>Type of Filing:___X____Original________Updated ________Revised</v>
      </c>
      <c r="B7" s="5"/>
      <c r="C7" s="19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</row>
    <row r="8" spans="1:17">
      <c r="A8" s="198" t="str">
        <f>'C.2.2 B 09'!A8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199"/>
      <c r="N8" s="199"/>
      <c r="O8" s="199"/>
      <c r="P8" s="201" t="str">
        <f>C.1!J9</f>
        <v>Witness: Waller, Martin</v>
      </c>
      <c r="Q8" s="5"/>
    </row>
    <row r="9" spans="1:17">
      <c r="A9" s="202" t="s">
        <v>21</v>
      </c>
      <c r="B9" s="203" t="s">
        <v>237</v>
      </c>
      <c r="C9" s="204"/>
      <c r="D9" s="156" t="str">
        <f>'C.2.2 B 09'!D9</f>
        <v>actual</v>
      </c>
      <c r="E9" s="156" t="str">
        <f>'C.2.2 B 09'!F9</f>
        <v>actual</v>
      </c>
      <c r="F9" s="156" t="str">
        <f>'C.2.2 B 09'!F9</f>
        <v>actual</v>
      </c>
      <c r="G9" s="156" t="str">
        <f>'C.2.2 B 09'!G9</f>
        <v>actual</v>
      </c>
      <c r="H9" s="156" t="str">
        <f>'C.2.2 B 09'!H9</f>
        <v>actual</v>
      </c>
      <c r="I9" s="156" t="str">
        <f>'C.2.2 B 09'!I9</f>
        <v>actual</v>
      </c>
      <c r="J9" s="156" t="str">
        <f>'C.2.2 B 09'!J9</f>
        <v>Forecasted</v>
      </c>
      <c r="K9" s="156" t="str">
        <f>'C.2.2 B 09'!K9</f>
        <v>Forecasted</v>
      </c>
      <c r="L9" s="156" t="str">
        <f>'C.2.2 B 09'!L9</f>
        <v>Forecasted</v>
      </c>
      <c r="M9" s="156" t="str">
        <f>'C.2.2 B 09'!M9</f>
        <v>Budgeted</v>
      </c>
      <c r="N9" s="156" t="str">
        <f>'C.2.2 B 09'!N9</f>
        <v>Budgeted</v>
      </c>
      <c r="O9" s="156" t="str">
        <f>'C.2.2 B 09'!O9</f>
        <v>Budgeted</v>
      </c>
      <c r="P9" s="243"/>
      <c r="Q9" s="8"/>
    </row>
    <row r="10" spans="1:17">
      <c r="A10" s="207" t="s">
        <v>24</v>
      </c>
      <c r="B10" s="2" t="s">
        <v>24</v>
      </c>
      <c r="C10" s="208" t="s">
        <v>240</v>
      </c>
      <c r="D10" s="244">
        <f>'C.2.2 B 09'!D10</f>
        <v>42736</v>
      </c>
      <c r="E10" s="244">
        <f>'C.2.2 B 09'!F10</f>
        <v>42795</v>
      </c>
      <c r="F10" s="244">
        <f>'C.2.2 B 09'!F10</f>
        <v>42795</v>
      </c>
      <c r="G10" s="244">
        <f>'C.2.2 B 09'!G10</f>
        <v>42826</v>
      </c>
      <c r="H10" s="244">
        <f>'C.2.2 B 09'!H10</f>
        <v>42856</v>
      </c>
      <c r="I10" s="244">
        <f>'C.2.2 B 09'!I10</f>
        <v>42887</v>
      </c>
      <c r="J10" s="244">
        <f>'C.2.2 B 09'!J10</f>
        <v>42917</v>
      </c>
      <c r="K10" s="244">
        <f>'C.2.2 B 09'!K10</f>
        <v>42948</v>
      </c>
      <c r="L10" s="244">
        <f>'C.2.2 B 09'!L10</f>
        <v>42979</v>
      </c>
      <c r="M10" s="244">
        <f>'C.2.2 B 09'!M10</f>
        <v>43009</v>
      </c>
      <c r="N10" s="244">
        <f>'C.2.2 B 09'!N10</f>
        <v>43040</v>
      </c>
      <c r="O10" s="244">
        <f>'C.2.2 B 09'!O10</f>
        <v>43070</v>
      </c>
      <c r="P10" s="244" t="str">
        <f>'C.2.2 B 09'!P10</f>
        <v>Total</v>
      </c>
      <c r="Q10" s="256"/>
    </row>
    <row r="11" spans="1:17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68"/>
    </row>
    <row r="12" spans="1:17">
      <c r="A12" s="8">
        <v>1</v>
      </c>
      <c r="B12" s="212">
        <v>4030</v>
      </c>
      <c r="C12" s="5" t="s">
        <v>70</v>
      </c>
      <c r="D12" s="215">
        <v>-1.4551915228366852E-11</v>
      </c>
      <c r="E12" s="215">
        <v>-2.9103830456733704E-11</v>
      </c>
      <c r="F12" s="215">
        <v>-1.1641532182693481E-10</v>
      </c>
      <c r="G12" s="215">
        <v>0</v>
      </c>
      <c r="H12" s="215">
        <v>3.637978807091713E-11</v>
      </c>
      <c r="I12" s="215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5">
        <f t="shared" ref="P12:P25" si="0">SUM(D12:O12)</f>
        <v>-1.2369127944111824E-10</v>
      </c>
      <c r="Q12" s="196"/>
    </row>
    <row r="13" spans="1:17">
      <c r="A13" s="8">
        <f>A12+1</f>
        <v>2</v>
      </c>
      <c r="B13" s="212">
        <v>4081</v>
      </c>
      <c r="C13" s="5" t="s">
        <v>246</v>
      </c>
      <c r="D13" s="215">
        <v>-9.9999999678459517E-3</v>
      </c>
      <c r="E13" s="215">
        <v>1.5546675058430992E-11</v>
      </c>
      <c r="F13" s="215">
        <v>1.2732925824820995E-11</v>
      </c>
      <c r="G13" s="215">
        <v>2.9540814239226165E-11</v>
      </c>
      <c r="H13" s="215">
        <v>6.0196292395175988E-12</v>
      </c>
      <c r="I13" s="215">
        <v>1.0000000012951205E-2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5">
        <f t="shared" si="0"/>
        <v>1.0894529722804691E-10</v>
      </c>
      <c r="Q13" s="5"/>
    </row>
    <row r="14" spans="1:17">
      <c r="A14" s="8">
        <f t="shared" ref="A14:A35" si="1">A13+1</f>
        <v>3</v>
      </c>
      <c r="B14" s="212">
        <v>8700</v>
      </c>
      <c r="C14" s="5" t="s">
        <v>293</v>
      </c>
      <c r="D14" s="215">
        <f>0</f>
        <v>0</v>
      </c>
      <c r="E14" s="215">
        <f>0</f>
        <v>0</v>
      </c>
      <c r="F14" s="215">
        <f>0</f>
        <v>0</v>
      </c>
      <c r="G14" s="215">
        <f>0</f>
        <v>0</v>
      </c>
      <c r="H14" s="215">
        <f>0</f>
        <v>0</v>
      </c>
      <c r="I14" s="215">
        <f>0</f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5">
        <f t="shared" si="0"/>
        <v>0</v>
      </c>
      <c r="Q14" s="5"/>
    </row>
    <row r="15" spans="1:17">
      <c r="A15" s="8">
        <f t="shared" si="1"/>
        <v>4</v>
      </c>
      <c r="B15" s="212">
        <v>8740</v>
      </c>
      <c r="C15" s="5" t="s">
        <v>297</v>
      </c>
      <c r="D15" s="215">
        <v>2021.33</v>
      </c>
      <c r="E15" s="215">
        <v>1302.98</v>
      </c>
      <c r="F15" s="215">
        <v>1296.21</v>
      </c>
      <c r="G15" s="215">
        <v>1673.07</v>
      </c>
      <c r="H15" s="215">
        <v>1951.15</v>
      </c>
      <c r="I15" s="215">
        <v>1635.9399999999998</v>
      </c>
      <c r="J15" s="116">
        <v>2108.5062218842036</v>
      </c>
      <c r="K15" s="116">
        <v>2108.5062218842036</v>
      </c>
      <c r="L15" s="116">
        <v>2104.5090536910579</v>
      </c>
      <c r="M15" s="116">
        <v>1699.7957741350851</v>
      </c>
      <c r="N15" s="116">
        <v>1699.7957741350851</v>
      </c>
      <c r="O15" s="116">
        <v>1699.7957741350851</v>
      </c>
      <c r="P15" s="5">
        <f t="shared" si="0"/>
        <v>21301.588819864715</v>
      </c>
      <c r="Q15" s="5"/>
    </row>
    <row r="16" spans="1:17">
      <c r="A16" s="8">
        <f t="shared" si="1"/>
        <v>5</v>
      </c>
      <c r="B16" s="212">
        <v>8800</v>
      </c>
      <c r="C16" s="5" t="s">
        <v>303</v>
      </c>
      <c r="D16" s="215">
        <f>0</f>
        <v>0</v>
      </c>
      <c r="E16" s="215">
        <f>0</f>
        <v>0</v>
      </c>
      <c r="F16" s="215">
        <f>0</f>
        <v>0</v>
      </c>
      <c r="G16" s="215">
        <f>0</f>
        <v>0</v>
      </c>
      <c r="H16" s="215">
        <f>0</f>
        <v>0</v>
      </c>
      <c r="I16" s="215">
        <f>0</f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5">
        <f t="shared" si="0"/>
        <v>0</v>
      </c>
      <c r="Q16" s="5"/>
    </row>
    <row r="17" spans="1:17">
      <c r="A17" s="8">
        <f t="shared" si="1"/>
        <v>6</v>
      </c>
      <c r="B17" s="212">
        <v>9010</v>
      </c>
      <c r="C17" s="5" t="s">
        <v>314</v>
      </c>
      <c r="D17" s="215">
        <v>345788.8</v>
      </c>
      <c r="E17" s="215">
        <v>325501.09999999998</v>
      </c>
      <c r="F17" s="215">
        <v>371262.11</v>
      </c>
      <c r="G17" s="215">
        <v>315776.92000000004</v>
      </c>
      <c r="H17" s="215">
        <v>363030.96000000008</v>
      </c>
      <c r="I17" s="215">
        <v>355088.25</v>
      </c>
      <c r="J17" s="116">
        <v>408249.24118259293</v>
      </c>
      <c r="K17" s="116">
        <v>439921.88623749086</v>
      </c>
      <c r="L17" s="116">
        <v>403566.09011453734</v>
      </c>
      <c r="M17" s="116">
        <v>414715.10003821598</v>
      </c>
      <c r="N17" s="116">
        <v>409418.25585608825</v>
      </c>
      <c r="O17" s="116">
        <v>393911.68921853218</v>
      </c>
      <c r="P17" s="5">
        <f t="shared" si="0"/>
        <v>4546230.402647458</v>
      </c>
      <c r="Q17" s="5"/>
    </row>
    <row r="18" spans="1:17">
      <c r="A18" s="8">
        <f t="shared" si="1"/>
        <v>7</v>
      </c>
      <c r="B18" s="212">
        <v>9020</v>
      </c>
      <c r="C18" s="5" t="s">
        <v>315</v>
      </c>
      <c r="D18" s="215">
        <v>2827.18</v>
      </c>
      <c r="E18" s="215">
        <v>2492.65</v>
      </c>
      <c r="F18" s="215">
        <v>3252.47</v>
      </c>
      <c r="G18" s="215">
        <v>2426.96</v>
      </c>
      <c r="H18" s="215">
        <v>2434.3700000000003</v>
      </c>
      <c r="I18" s="215">
        <v>2598.9900000000002</v>
      </c>
      <c r="J18" s="116">
        <v>3129.6704196327341</v>
      </c>
      <c r="K18" s="116">
        <v>3419.9887260877772</v>
      </c>
      <c r="L18" s="116">
        <v>3129.6704196327341</v>
      </c>
      <c r="M18" s="116">
        <v>3206.8122757935935</v>
      </c>
      <c r="N18" s="116">
        <v>3206.8122757935935</v>
      </c>
      <c r="O18" s="116">
        <v>3061.9902347822399</v>
      </c>
      <c r="P18" s="5">
        <f t="shared" si="0"/>
        <v>35187.564351722671</v>
      </c>
      <c r="Q18" s="5"/>
    </row>
    <row r="19" spans="1:17">
      <c r="A19" s="8">
        <f t="shared" si="1"/>
        <v>8</v>
      </c>
      <c r="B19" s="212">
        <v>9030</v>
      </c>
      <c r="C19" s="5" t="s">
        <v>316</v>
      </c>
      <c r="D19" s="215">
        <v>1596481.55</v>
      </c>
      <c r="E19" s="215">
        <v>1399178.37</v>
      </c>
      <c r="F19" s="215">
        <v>1619284.2600000002</v>
      </c>
      <c r="G19" s="215">
        <v>1395506.2899999998</v>
      </c>
      <c r="H19" s="215">
        <v>1567812.4299999997</v>
      </c>
      <c r="I19" s="215">
        <v>1532666.09</v>
      </c>
      <c r="J19" s="116">
        <v>1809832.3744862846</v>
      </c>
      <c r="K19" s="116">
        <v>1919968.318625456</v>
      </c>
      <c r="L19" s="116">
        <v>1758653.9188195765</v>
      </c>
      <c r="M19" s="116">
        <v>1850067.2927439839</v>
      </c>
      <c r="N19" s="116">
        <v>1798551.2873285485</v>
      </c>
      <c r="O19" s="116">
        <v>1719696.3008250946</v>
      </c>
      <c r="P19" s="5">
        <f t="shared" si="0"/>
        <v>19967698.482828941</v>
      </c>
      <c r="Q19" s="5"/>
    </row>
    <row r="20" spans="1:17">
      <c r="A20" s="8">
        <f t="shared" si="1"/>
        <v>9</v>
      </c>
      <c r="B20" s="212">
        <v>9200</v>
      </c>
      <c r="C20" s="5" t="s">
        <v>323</v>
      </c>
      <c r="D20" s="215">
        <v>445375.62000000005</v>
      </c>
      <c r="E20" s="215">
        <v>369782.82000000007</v>
      </c>
      <c r="F20" s="215">
        <v>424768.47000000009</v>
      </c>
      <c r="G20" s="215">
        <v>278911.63</v>
      </c>
      <c r="H20" s="215">
        <v>332812.16000000003</v>
      </c>
      <c r="I20" s="215">
        <v>307847.19</v>
      </c>
      <c r="J20" s="116">
        <v>421547.86102285853</v>
      </c>
      <c r="K20" s="116">
        <v>460651.99810201593</v>
      </c>
      <c r="L20" s="116">
        <v>421547.86102285853</v>
      </c>
      <c r="M20" s="116">
        <v>431938.40702282987</v>
      </c>
      <c r="N20" s="116">
        <v>431938.40702282987</v>
      </c>
      <c r="O20" s="116">
        <v>412431.7454797065</v>
      </c>
      <c r="P20" s="5">
        <f t="shared" si="0"/>
        <v>4739554.1696730992</v>
      </c>
      <c r="Q20" s="5"/>
    </row>
    <row r="21" spans="1:17">
      <c r="A21" s="8">
        <f t="shared" si="1"/>
        <v>10</v>
      </c>
      <c r="B21" s="212">
        <v>9210</v>
      </c>
      <c r="C21" s="5" t="s">
        <v>324</v>
      </c>
      <c r="D21" s="215">
        <v>744503.11999999988</v>
      </c>
      <c r="E21" s="215">
        <v>642804.87</v>
      </c>
      <c r="F21" s="215">
        <v>706185.25</v>
      </c>
      <c r="G21" s="215">
        <v>673818.10999999952</v>
      </c>
      <c r="H21" s="215">
        <v>750436.9099999998</v>
      </c>
      <c r="I21" s="215">
        <v>967833.5399999998</v>
      </c>
      <c r="J21" s="116">
        <v>189091.6804483103</v>
      </c>
      <c r="K21" s="116">
        <v>187377.3056777684</v>
      </c>
      <c r="L21" s="116">
        <v>168380.20103660104</v>
      </c>
      <c r="M21" s="116">
        <v>206587.02536539073</v>
      </c>
      <c r="N21" s="116">
        <v>197708.2494321322</v>
      </c>
      <c r="O21" s="116">
        <v>202317.90444773136</v>
      </c>
      <c r="P21" s="5">
        <f t="shared" si="0"/>
        <v>5637044.1664079344</v>
      </c>
      <c r="Q21" s="5"/>
    </row>
    <row r="22" spans="1:17">
      <c r="A22" s="8">
        <f t="shared" si="1"/>
        <v>11</v>
      </c>
      <c r="B22" s="212">
        <v>9220</v>
      </c>
      <c r="C22" s="5" t="s">
        <v>325</v>
      </c>
      <c r="D22" s="215">
        <v>-4104410.0699999975</v>
      </c>
      <c r="E22" s="215">
        <v>-3692373.38</v>
      </c>
      <c r="F22" s="215">
        <v>-4255879.66</v>
      </c>
      <c r="G22" s="215">
        <v>-3697685.17</v>
      </c>
      <c r="H22" s="215">
        <v>-4192143.9400000009</v>
      </c>
      <c r="I22" s="215">
        <v>-4117575.1800000025</v>
      </c>
      <c r="J22" s="116">
        <f t="shared" ref="J22:O22" si="2">-(SUM(J12:J21)+SUM(J23:J28))</f>
        <v>-3924136.8900000006</v>
      </c>
      <c r="K22" s="116">
        <f t="shared" si="2"/>
        <v>-4180992.8900000006</v>
      </c>
      <c r="L22" s="116">
        <f t="shared" si="2"/>
        <v>-3839066.290000001</v>
      </c>
      <c r="M22" s="116">
        <f t="shared" si="2"/>
        <v>-3962203.4759000009</v>
      </c>
      <c r="N22" s="116">
        <f t="shared" si="2"/>
        <v>-3907270.1835000012</v>
      </c>
      <c r="O22" s="116">
        <f t="shared" si="2"/>
        <v>-3760952.8256000006</v>
      </c>
      <c r="P22" s="5">
        <f t="shared" si="0"/>
        <v>-47634689.955000006</v>
      </c>
      <c r="Q22" s="196"/>
    </row>
    <row r="23" spans="1:17">
      <c r="A23" s="8">
        <f t="shared" si="1"/>
        <v>12</v>
      </c>
      <c r="B23" s="212">
        <v>9230</v>
      </c>
      <c r="C23" s="5" t="s">
        <v>326</v>
      </c>
      <c r="D23" s="215">
        <v>1419.9699999999993</v>
      </c>
      <c r="E23" s="215">
        <v>69053.959999999992</v>
      </c>
      <c r="F23" s="215">
        <v>109043.51</v>
      </c>
      <c r="G23" s="215">
        <v>110711.93000000001</v>
      </c>
      <c r="H23" s="215">
        <v>79952.899999999994</v>
      </c>
      <c r="I23" s="215">
        <v>53126</v>
      </c>
      <c r="J23" s="116">
        <v>32097.622490204551</v>
      </c>
      <c r="K23" s="116">
        <v>33982.839720064127</v>
      </c>
      <c r="L23" s="116">
        <v>25102.908918406512</v>
      </c>
      <c r="M23" s="116">
        <v>36385.509937096562</v>
      </c>
      <c r="N23" s="116">
        <v>37067.551094822382</v>
      </c>
      <c r="O23" s="116">
        <v>36457.316934983966</v>
      </c>
      <c r="P23" s="5">
        <f t="shared" si="0"/>
        <v>624402.019095578</v>
      </c>
      <c r="Q23" s="5"/>
    </row>
    <row r="24" spans="1:17">
      <c r="A24" s="8">
        <f t="shared" si="1"/>
        <v>13</v>
      </c>
      <c r="B24" s="212">
        <v>9240</v>
      </c>
      <c r="C24" s="5" t="s">
        <v>327</v>
      </c>
      <c r="D24" s="215">
        <v>9998.56</v>
      </c>
      <c r="E24" s="215">
        <v>9998.56</v>
      </c>
      <c r="F24" s="215">
        <v>8105.89</v>
      </c>
      <c r="G24" s="215">
        <v>8105.89</v>
      </c>
      <c r="H24" s="215">
        <v>8105.89</v>
      </c>
      <c r="I24" s="215">
        <v>8105.89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5">
        <f t="shared" si="0"/>
        <v>52420.68</v>
      </c>
      <c r="Q24" s="5"/>
    </row>
    <row r="25" spans="1:17">
      <c r="A25" s="8">
        <f t="shared" si="1"/>
        <v>14</v>
      </c>
      <c r="B25" s="212">
        <v>9250</v>
      </c>
      <c r="C25" s="9" t="s">
        <v>328</v>
      </c>
      <c r="D25" s="215">
        <v>0</v>
      </c>
      <c r="E25" s="215">
        <v>0</v>
      </c>
      <c r="F25" s="215">
        <v>0</v>
      </c>
      <c r="G25" s="215">
        <v>17.690000000000001</v>
      </c>
      <c r="H25" s="215">
        <v>17.28</v>
      </c>
      <c r="I25" s="215">
        <v>17.28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5">
        <f t="shared" si="0"/>
        <v>52.25</v>
      </c>
      <c r="Q25" s="5"/>
    </row>
    <row r="26" spans="1:17">
      <c r="A26" s="8">
        <f t="shared" si="1"/>
        <v>15</v>
      </c>
      <c r="B26" s="212">
        <v>9260</v>
      </c>
      <c r="C26" s="5" t="s">
        <v>329</v>
      </c>
      <c r="D26" s="215">
        <v>801817.73</v>
      </c>
      <c r="E26" s="215">
        <v>713976.82</v>
      </c>
      <c r="F26" s="215">
        <v>858462.23</v>
      </c>
      <c r="G26" s="215">
        <v>672241.46000000008</v>
      </c>
      <c r="H26" s="215">
        <v>835509.42000000027</v>
      </c>
      <c r="I26" s="215">
        <v>734230.03000000014</v>
      </c>
      <c r="J26" s="116">
        <v>925073.20376203989</v>
      </c>
      <c r="K26" s="116">
        <v>1004151.5709340967</v>
      </c>
      <c r="L26" s="116">
        <v>927170.27475365496</v>
      </c>
      <c r="M26" s="116">
        <v>882489.88069282833</v>
      </c>
      <c r="N26" s="116">
        <v>893033.15406569128</v>
      </c>
      <c r="O26" s="116">
        <v>850375.73900060658</v>
      </c>
      <c r="P26" s="5">
        <f>SUM(D26:O26)</f>
        <v>10098531.513208918</v>
      </c>
      <c r="Q26" s="5"/>
    </row>
    <row r="27" spans="1:17">
      <c r="A27" s="8">
        <f t="shared" si="1"/>
        <v>16</v>
      </c>
      <c r="B27" s="212">
        <v>9310</v>
      </c>
      <c r="C27" s="5" t="s">
        <v>209</v>
      </c>
      <c r="D27" s="215">
        <v>153533.72000000003</v>
      </c>
      <c r="E27" s="215">
        <v>154542.82</v>
      </c>
      <c r="F27" s="215">
        <v>153235.66</v>
      </c>
      <c r="G27" s="215">
        <v>153107.31</v>
      </c>
      <c r="H27" s="215">
        <v>153617.66</v>
      </c>
      <c r="I27" s="215">
        <v>154426.03</v>
      </c>
      <c r="J27" s="116">
        <v>133002.55921508768</v>
      </c>
      <c r="K27" s="116">
        <v>129406.30500403115</v>
      </c>
      <c r="L27" s="116">
        <v>129406.30500403115</v>
      </c>
      <c r="M27" s="116">
        <v>135098.72117732372</v>
      </c>
      <c r="N27" s="116">
        <v>134643.15597206212</v>
      </c>
      <c r="O27" s="116">
        <v>140991.97614756582</v>
      </c>
      <c r="P27" s="5">
        <f>SUM(D27:O27)</f>
        <v>1725012.2225201016</v>
      </c>
      <c r="Q27" s="5"/>
    </row>
    <row r="28" spans="1:17">
      <c r="A28" s="8">
        <f t="shared" si="1"/>
        <v>17</v>
      </c>
      <c r="B28" s="212">
        <v>9320</v>
      </c>
      <c r="C28" s="5" t="s">
        <v>333</v>
      </c>
      <c r="D28" s="215">
        <v>642.48</v>
      </c>
      <c r="E28" s="215">
        <v>3738.4300000000003</v>
      </c>
      <c r="F28" s="215">
        <v>983.61000000000013</v>
      </c>
      <c r="G28" s="215">
        <v>323.14</v>
      </c>
      <c r="H28" s="215">
        <v>5.41</v>
      </c>
      <c r="I28" s="215">
        <v>0</v>
      </c>
      <c r="J28" s="116">
        <v>4.170751105494154</v>
      </c>
      <c r="K28" s="116">
        <v>4.170751105494154</v>
      </c>
      <c r="L28" s="116">
        <v>4.5508570114880023</v>
      </c>
      <c r="M28" s="116">
        <v>14.930872403251541</v>
      </c>
      <c r="N28" s="116">
        <v>3.5146778978883315</v>
      </c>
      <c r="O28" s="116">
        <v>8.3675368620837762</v>
      </c>
      <c r="P28" s="5">
        <f>SUM(D28:O28)</f>
        <v>5732.7754463857</v>
      </c>
      <c r="Q28" s="5"/>
    </row>
    <row r="29" spans="1:17">
      <c r="A29" s="8">
        <f t="shared" si="1"/>
        <v>18</v>
      </c>
      <c r="B29" s="5"/>
      <c r="C29" s="246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5"/>
      <c r="Q29" s="5"/>
    </row>
    <row r="30" spans="1:17" ht="15.75" thickBot="1">
      <c r="A30" s="8">
        <f t="shared" si="1"/>
        <v>19</v>
      </c>
      <c r="B30" s="5" t="s">
        <v>334</v>
      </c>
      <c r="C30" s="246"/>
      <c r="D30" s="247">
        <f>SUM(D12:D28)</f>
        <v>-1.9999997613467713E-2</v>
      </c>
      <c r="E30" s="247">
        <f t="shared" ref="E30:P30" si="3">SUM(E12:E29)</f>
        <v>1.2369127944111824E-10</v>
      </c>
      <c r="F30" s="247">
        <f t="shared" si="3"/>
        <v>9.9999998778912413E-3</v>
      </c>
      <c r="G30" s="247">
        <f t="shared" si="3"/>
        <v>-85064.77000000079</v>
      </c>
      <c r="H30" s="247">
        <f t="shared" si="3"/>
        <v>-96457.400000001246</v>
      </c>
      <c r="I30" s="247">
        <f t="shared" si="3"/>
        <v>5.9999997465638444E-2</v>
      </c>
      <c r="J30" s="247">
        <f t="shared" si="3"/>
        <v>3.1507507713968153E-10</v>
      </c>
      <c r="K30" s="247">
        <f t="shared" si="3"/>
        <v>-1.6513812539642458E-10</v>
      </c>
      <c r="L30" s="247">
        <f t="shared" si="3"/>
        <v>3.6106584389017371E-10</v>
      </c>
      <c r="M30" s="247">
        <f t="shared" si="3"/>
        <v>2.8272495455894386E-10</v>
      </c>
      <c r="N30" s="247">
        <f t="shared" si="3"/>
        <v>-5.1359805297579442E-11</v>
      </c>
      <c r="O30" s="247">
        <f t="shared" si="3"/>
        <v>-5.9880989056182443E-12</v>
      </c>
      <c r="P30" s="247">
        <f t="shared" si="3"/>
        <v>-181522.12000000072</v>
      </c>
      <c r="Q30" s="257"/>
    </row>
    <row r="31" spans="1:17" ht="15.75" thickTop="1">
      <c r="A31" s="8">
        <f t="shared" si="1"/>
        <v>20</v>
      </c>
      <c r="B31" s="5"/>
      <c r="C31" s="24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8">
        <f t="shared" si="1"/>
        <v>21</v>
      </c>
      <c r="B32" s="212">
        <f>B22</f>
        <v>9220</v>
      </c>
      <c r="C32" s="258" t="str">
        <f>C22</f>
        <v>A&amp;G-Administrative expense transferred-Credit</v>
      </c>
      <c r="D32" s="248">
        <f>D22</f>
        <v>-4104410.0699999975</v>
      </c>
      <c r="E32" s="248">
        <f t="shared" ref="E32:I32" si="4">E22</f>
        <v>-3692373.38</v>
      </c>
      <c r="F32" s="248">
        <f t="shared" si="4"/>
        <v>-4255879.66</v>
      </c>
      <c r="G32" s="248">
        <f t="shared" si="4"/>
        <v>-3697685.17</v>
      </c>
      <c r="H32" s="248">
        <f t="shared" si="4"/>
        <v>-4192143.9400000009</v>
      </c>
      <c r="I32" s="248">
        <f t="shared" si="4"/>
        <v>-4117575.1800000025</v>
      </c>
      <c r="J32" s="248">
        <f t="shared" ref="J32:K32" si="5">-(J30-J22)</f>
        <v>-3924136.8900000011</v>
      </c>
      <c r="K32" s="248">
        <f t="shared" si="5"/>
        <v>-4180992.8900000006</v>
      </c>
      <c r="L32" s="259">
        <f>L22</f>
        <v>-3839066.290000001</v>
      </c>
      <c r="M32" s="259">
        <f>M22</f>
        <v>-3962203.4759000009</v>
      </c>
      <c r="N32" s="259">
        <f>N22</f>
        <v>-3907270.1835000012</v>
      </c>
      <c r="O32" s="259">
        <f>O22</f>
        <v>-3760952.8256000006</v>
      </c>
      <c r="P32" s="5">
        <f t="shared" ref="P32" si="6">SUM(D32:O32)</f>
        <v>-47634689.955000006</v>
      </c>
      <c r="Q32" s="5"/>
    </row>
    <row r="33" spans="1:17">
      <c r="A33" s="8">
        <f t="shared" si="1"/>
        <v>22</v>
      </c>
      <c r="B33" s="5"/>
      <c r="C33" s="249" t="s">
        <v>341</v>
      </c>
      <c r="D33" s="250">
        <f>D34/D32</f>
        <v>4.7357553627676421E-2</v>
      </c>
      <c r="E33" s="250">
        <f t="shared" ref="E33:I33" si="7">E34/E32</f>
        <v>4.5989533702033139E-2</v>
      </c>
      <c r="F33" s="250">
        <f t="shared" si="7"/>
        <v>4.6503060662199266E-2</v>
      </c>
      <c r="G33" s="250">
        <f t="shared" si="7"/>
        <v>4.6696233470844679E-2</v>
      </c>
      <c r="H33" s="250">
        <f t="shared" si="7"/>
        <v>4.7647505156991336E-2</v>
      </c>
      <c r="I33" s="250">
        <f t="shared" si="7"/>
        <v>4.4969269996425393E-2</v>
      </c>
      <c r="J33" s="250">
        <v>5.67090596975168E-2</v>
      </c>
      <c r="K33" s="250">
        <v>5.67090596975168E-2</v>
      </c>
      <c r="L33" s="250">
        <v>5.67090596975168E-2</v>
      </c>
      <c r="M33" s="250">
        <v>5.67090596975168E-2</v>
      </c>
      <c r="N33" s="250">
        <v>5.67090596975168E-2</v>
      </c>
      <c r="O33" s="250">
        <v>5.67090596975168E-2</v>
      </c>
      <c r="P33" s="250">
        <f t="shared" ref="P33" si="8">P34/P32</f>
        <v>5.157100802248564E-2</v>
      </c>
      <c r="Q33" s="5"/>
    </row>
    <row r="34" spans="1:17">
      <c r="A34" s="8">
        <f t="shared" si="1"/>
        <v>23</v>
      </c>
      <c r="B34" s="5"/>
      <c r="C34" s="5" t="s">
        <v>342</v>
      </c>
      <c r="D34" s="5">
        <v>-194374.82</v>
      </c>
      <c r="E34" s="5">
        <v>-169810.53</v>
      </c>
      <c r="F34" s="5">
        <v>-197911.43</v>
      </c>
      <c r="G34" s="5">
        <v>-172667.97</v>
      </c>
      <c r="H34" s="5">
        <v>-199745.2</v>
      </c>
      <c r="I34" s="5">
        <v>-185164.35</v>
      </c>
      <c r="J34" s="5">
        <f t="shared" ref="J34:O34" si="9">J32*J33</f>
        <v>-222534.11315623799</v>
      </c>
      <c r="K34" s="5">
        <f t="shared" si="9"/>
        <v>-237100.17539390334</v>
      </c>
      <c r="L34" s="5">
        <f t="shared" si="9"/>
        <v>-217709.83942233439</v>
      </c>
      <c r="M34" s="5">
        <f t="shared" si="9"/>
        <v>-224692.83344852171</v>
      </c>
      <c r="N34" s="5">
        <f t="shared" si="9"/>
        <v>-221577.61809042899</v>
      </c>
      <c r="O34" s="5">
        <f t="shared" si="9"/>
        <v>-213280.09830649491</v>
      </c>
      <c r="P34" s="5">
        <f>SUM(D34:O34)</f>
        <v>-2456568.9778179214</v>
      </c>
      <c r="Q34" s="5"/>
    </row>
    <row r="35" spans="1:17">
      <c r="A35" s="8">
        <f t="shared" si="1"/>
        <v>24</v>
      </c>
      <c r="B35" s="5"/>
      <c r="C35" s="24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0"/>
      <c r="P35" s="260"/>
      <c r="Q35" s="5"/>
    </row>
    <row r="36" spans="1:17">
      <c r="A36" s="5"/>
      <c r="B36" s="5"/>
      <c r="C36" s="24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90"/>
      <c r="P36" s="190"/>
      <c r="Q36" s="5"/>
    </row>
    <row r="37" spans="1:17">
      <c r="A37" s="5"/>
      <c r="B37" s="5" t="s">
        <v>343</v>
      </c>
      <c r="C37" s="246"/>
      <c r="D37" s="257"/>
      <c r="E37" s="257"/>
      <c r="F37" s="257"/>
      <c r="G37" s="257"/>
      <c r="H37" s="257"/>
      <c r="I37" s="257"/>
      <c r="J37" s="5"/>
      <c r="K37" s="5"/>
      <c r="L37" s="5"/>
      <c r="M37" s="5"/>
      <c r="N37" s="5"/>
      <c r="O37" s="5"/>
      <c r="P37" s="257"/>
      <c r="Q37" s="5"/>
    </row>
    <row r="38" spans="1:17">
      <c r="A38" s="5"/>
      <c r="B38" s="5"/>
      <c r="C38" s="5"/>
      <c r="D38" s="190"/>
      <c r="E38" s="190"/>
      <c r="F38" s="190"/>
      <c r="G38" s="190"/>
      <c r="H38" s="190"/>
      <c r="I38" s="190"/>
      <c r="J38" s="5"/>
      <c r="K38" s="190"/>
      <c r="L38" s="190"/>
      <c r="M38" s="190"/>
      <c r="N38" s="190"/>
      <c r="O38" s="190"/>
      <c r="P38" s="190"/>
      <c r="Q38" s="190"/>
    </row>
    <row r="39" spans="1:17">
      <c r="A39" s="5"/>
      <c r="B39" s="5"/>
      <c r="C39" s="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6"/>
      <c r="Q39" s="190"/>
    </row>
    <row r="40" spans="1:17">
      <c r="A40" s="5"/>
      <c r="B40" s="5"/>
      <c r="C40" s="5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51"/>
      <c r="Q41" s="5"/>
    </row>
    <row r="42" spans="1:17">
      <c r="A42" s="5"/>
      <c r="B42" s="5"/>
      <c r="C42" s="5"/>
      <c r="D42" s="25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190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0"/>
      <c r="P44" s="190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0"/>
      <c r="P45" s="190"/>
      <c r="Q45" s="5"/>
    </row>
    <row r="46" spans="1:17">
      <c r="A46" s="5"/>
      <c r="B46" s="5"/>
      <c r="C46" s="19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</row>
    <row r="52" spans="1:17">
      <c r="C52" s="19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5" footer="0.25"/>
  <pageSetup scale="47" fitToHeight="2" orientation="landscape" verticalDpi="300" r:id="rId1"/>
  <headerFooter alignWithMargins="0">
    <oddHeader>&amp;RCASE NO. 2017-00349
FR 16(8)(c)
ATTACHMENT 1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BreakPreview" zoomScale="60" zoomScaleNormal="70" workbookViewId="0">
      <pane xSplit="3" ySplit="11" topLeftCell="D12" activePane="bottomRight" state="frozen"/>
      <selection activeCell="E14" sqref="E14"/>
      <selection pane="topRight" activeCell="E14" sqref="E14"/>
      <selection pane="bottomLeft" activeCell="E14" sqref="E14"/>
      <selection pane="bottomRight" activeCell="D12" sqref="D12"/>
    </sheetView>
  </sheetViews>
  <sheetFormatPr defaultColWidth="7.109375" defaultRowHeight="15"/>
  <cols>
    <col min="1" max="1" width="6.21875" style="9" customWidth="1"/>
    <col min="2" max="2" width="7.21875" style="9" customWidth="1"/>
    <col min="3" max="3" width="38.88671875" style="9" customWidth="1"/>
    <col min="4" max="5" width="11.109375" style="9" customWidth="1"/>
    <col min="6" max="6" width="11.77734375" style="9" bestFit="1" customWidth="1"/>
    <col min="7" max="7" width="11.33203125" style="9" bestFit="1" customWidth="1"/>
    <col min="8" max="8" width="11.109375" style="9" customWidth="1"/>
    <col min="9" max="9" width="12" style="9" bestFit="1" customWidth="1"/>
    <col min="10" max="13" width="11.33203125" style="9" bestFit="1" customWidth="1"/>
    <col min="14" max="14" width="12.44140625" style="9" customWidth="1"/>
    <col min="15" max="15" width="10.5546875" style="9" bestFit="1" customWidth="1"/>
    <col min="16" max="16" width="12.44140625" style="9" customWidth="1"/>
    <col min="17" max="17" width="12.5546875" style="9" customWidth="1"/>
    <col min="18" max="16384" width="7.109375" style="9"/>
  </cols>
  <sheetData>
    <row r="1" spans="1:18">
      <c r="A1" s="308" t="s">
        <v>384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5"/>
      <c r="R1" s="5"/>
    </row>
    <row r="2" spans="1:18">
      <c r="A2" s="308" t="s">
        <v>385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5"/>
      <c r="R2" s="5"/>
    </row>
    <row r="3" spans="1:18" ht="15.75">
      <c r="A3" s="308" t="s">
        <v>345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5"/>
      <c r="R3" s="5"/>
    </row>
    <row r="4" spans="1:18">
      <c r="A4" s="308" t="s">
        <v>386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"/>
      <c r="R4" s="5"/>
    </row>
    <row r="5" spans="1:18">
      <c r="A5" s="5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5"/>
      <c r="Q5" s="5"/>
      <c r="R5" s="5"/>
    </row>
    <row r="6" spans="1:18" ht="15.75">
      <c r="A6" s="194" t="str">
        <f>'C.2.2 B 09'!A6</f>
        <v>Data:___X____Base Period________Forecasted Period</v>
      </c>
      <c r="B6" s="5"/>
      <c r="C6" s="194"/>
      <c r="D6" s="5"/>
      <c r="E6" s="5"/>
      <c r="F6" s="240"/>
      <c r="G6" s="5"/>
      <c r="H6" s="5"/>
      <c r="I6" s="5"/>
      <c r="J6" s="5"/>
      <c r="K6" s="5"/>
      <c r="L6" s="5"/>
      <c r="M6" s="5"/>
      <c r="N6" s="5"/>
      <c r="O6" s="5"/>
      <c r="P6" s="195" t="s">
        <v>235</v>
      </c>
      <c r="Q6" s="5"/>
      <c r="R6" s="5"/>
    </row>
    <row r="7" spans="1:18">
      <c r="A7" s="194" t="str">
        <f>'C.2.2 B 09'!A7</f>
        <v>Type of Filing:___X____Original________Updated ________Revised</v>
      </c>
      <c r="B7" s="5"/>
      <c r="C7" s="19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97" t="s">
        <v>236</v>
      </c>
      <c r="Q7" s="5"/>
      <c r="R7" s="5"/>
    </row>
    <row r="8" spans="1:18">
      <c r="A8" s="198" t="str">
        <f>'C.2.2 B 09'!A8</f>
        <v>Workpaper Reference No(s).____________________</v>
      </c>
      <c r="B8" s="199"/>
      <c r="C8" s="242"/>
      <c r="D8" s="200"/>
      <c r="E8" s="200"/>
      <c r="F8" s="200"/>
      <c r="G8" s="200"/>
      <c r="H8" s="200"/>
      <c r="I8" s="200"/>
      <c r="J8" s="200"/>
      <c r="K8" s="200"/>
      <c r="L8" s="200"/>
      <c r="M8" s="199"/>
      <c r="N8" s="199"/>
      <c r="O8" s="199"/>
      <c r="P8" s="201" t="str">
        <f>C.1!J9</f>
        <v>Witness: Waller, Martin</v>
      </c>
      <c r="Q8" s="5"/>
      <c r="R8" s="5"/>
    </row>
    <row r="9" spans="1:18">
      <c r="A9" s="202" t="s">
        <v>21</v>
      </c>
      <c r="B9" s="203" t="s">
        <v>237</v>
      </c>
      <c r="C9" s="204"/>
      <c r="D9" s="156" t="str">
        <f>'C.2.2 B 09'!D9</f>
        <v>actual</v>
      </c>
      <c r="E9" s="156" t="str">
        <f>'C.2.2 B 09'!F9</f>
        <v>actual</v>
      </c>
      <c r="F9" s="156" t="str">
        <f>'C.2.2 B 09'!F9</f>
        <v>actual</v>
      </c>
      <c r="G9" s="156" t="str">
        <f>'C.2.2 B 09'!G9</f>
        <v>actual</v>
      </c>
      <c r="H9" s="156" t="str">
        <f>'C.2.2 B 09'!H9</f>
        <v>actual</v>
      </c>
      <c r="I9" s="156" t="str">
        <f>'C.2.2 B 09'!I9</f>
        <v>actual</v>
      </c>
      <c r="J9" s="156" t="str">
        <f>'C.2.2 B 09'!J9</f>
        <v>Forecasted</v>
      </c>
      <c r="K9" s="156" t="str">
        <f>'C.2.2 B 09'!K9</f>
        <v>Forecasted</v>
      </c>
      <c r="L9" s="156" t="str">
        <f>'C.2.2 B 09'!L9</f>
        <v>Forecasted</v>
      </c>
      <c r="M9" s="156" t="str">
        <f>'C.2.2 B 09'!M9</f>
        <v>Budgeted</v>
      </c>
      <c r="N9" s="156" t="str">
        <f>'C.2.2 B 09'!N9</f>
        <v>Budgeted</v>
      </c>
      <c r="O9" s="156" t="str">
        <f>'C.2.2 B 09'!O9</f>
        <v>Budgeted</v>
      </c>
      <c r="P9" s="243"/>
      <c r="Q9" s="8"/>
      <c r="R9" s="8"/>
    </row>
    <row r="10" spans="1:18">
      <c r="A10" s="207" t="s">
        <v>24</v>
      </c>
      <c r="B10" s="2" t="s">
        <v>24</v>
      </c>
      <c r="C10" s="208" t="s">
        <v>240</v>
      </c>
      <c r="D10" s="244">
        <f>'C.2.2 B 09'!D10</f>
        <v>42736</v>
      </c>
      <c r="E10" s="244">
        <f>'C.2.2 B 09'!E10</f>
        <v>42767</v>
      </c>
      <c r="F10" s="244">
        <f>'C.2.2 B 09'!F10</f>
        <v>42795</v>
      </c>
      <c r="G10" s="244">
        <f>'C.2.2 B 09'!G10</f>
        <v>42826</v>
      </c>
      <c r="H10" s="244">
        <f>'C.2.2 B 09'!H10</f>
        <v>42856</v>
      </c>
      <c r="I10" s="244">
        <f>'C.2.2 B 09'!I10</f>
        <v>42887</v>
      </c>
      <c r="J10" s="244">
        <f>'C.2.2 B 09'!J10</f>
        <v>42917</v>
      </c>
      <c r="K10" s="244">
        <f>'C.2.2 B 09'!K10</f>
        <v>42948</v>
      </c>
      <c r="L10" s="244">
        <f>'C.2.2 B 09'!L10</f>
        <v>42979</v>
      </c>
      <c r="M10" s="244">
        <f>'C.2.2 B 09'!M10</f>
        <v>43009</v>
      </c>
      <c r="N10" s="244">
        <f>'C.2.2 B 09'!N10</f>
        <v>43040</v>
      </c>
      <c r="O10" s="244">
        <f>'C.2.2 B 09'!O10</f>
        <v>43070</v>
      </c>
      <c r="P10" s="244" t="str">
        <f>'C.2.2 B 09'!P10</f>
        <v>Total</v>
      </c>
      <c r="Q10" s="256"/>
      <c r="R10" s="8"/>
    </row>
    <row r="11" spans="1:18">
      <c r="A11" s="5"/>
      <c r="B11" s="5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68" t="s">
        <v>242</v>
      </c>
      <c r="K11" s="68" t="s">
        <v>242</v>
      </c>
      <c r="L11" s="68" t="s">
        <v>242</v>
      </c>
      <c r="M11" s="68" t="s">
        <v>242</v>
      </c>
      <c r="N11" s="68" t="s">
        <v>242</v>
      </c>
      <c r="O11" s="68" t="s">
        <v>242</v>
      </c>
      <c r="P11" s="68" t="s">
        <v>242</v>
      </c>
      <c r="Q11" s="68"/>
      <c r="R11" s="5"/>
    </row>
    <row r="12" spans="1:18">
      <c r="A12" s="5"/>
      <c r="B12" s="212" t="s">
        <v>218</v>
      </c>
      <c r="C12" s="213" t="s">
        <v>243</v>
      </c>
      <c r="D12" s="215">
        <v>5426768.3300000001</v>
      </c>
      <c r="E12" s="215">
        <v>3782311.2399999998</v>
      </c>
      <c r="F12" s="215">
        <v>2891979.9100000006</v>
      </c>
      <c r="G12" s="215">
        <v>1810941.75</v>
      </c>
      <c r="H12" s="215">
        <v>761290.12</v>
      </c>
      <c r="I12" s="215">
        <v>1666564.2499999998</v>
      </c>
      <c r="J12" s="215"/>
      <c r="K12" s="116"/>
      <c r="L12" s="116"/>
      <c r="M12" s="116"/>
      <c r="N12" s="116"/>
      <c r="O12" s="116"/>
      <c r="P12" s="5">
        <f t="shared" ref="P12:P15" si="0">SUM(D12:O12)</f>
        <v>16339855.6</v>
      </c>
      <c r="Q12" s="68"/>
      <c r="R12" s="5"/>
    </row>
    <row r="13" spans="1:18">
      <c r="A13" s="5"/>
      <c r="B13" s="5"/>
      <c r="C13" s="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">
        <f t="shared" si="0"/>
        <v>0</v>
      </c>
      <c r="Q13" s="68"/>
      <c r="R13" s="5"/>
    </row>
    <row r="14" spans="1:18">
      <c r="A14" s="8">
        <v>1</v>
      </c>
      <c r="B14" s="212">
        <v>4030</v>
      </c>
      <c r="C14" s="5" t="s">
        <v>70</v>
      </c>
      <c r="D14" s="215">
        <v>-9.0949470177292824E-13</v>
      </c>
      <c r="E14" s="215">
        <v>1.4210854715202004E-13</v>
      </c>
      <c r="F14" s="215">
        <v>0</v>
      </c>
      <c r="G14" s="215">
        <v>-1.7053025658242404E-13</v>
      </c>
      <c r="H14" s="215">
        <v>-3.1263880373444408E-13</v>
      </c>
      <c r="I14" s="215">
        <v>-4.1211478674085811E-13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5">
        <f t="shared" si="0"/>
        <v>-1.6626700016786344E-12</v>
      </c>
      <c r="Q14" s="196"/>
      <c r="R14" s="5"/>
    </row>
    <row r="15" spans="1:18">
      <c r="A15" s="8">
        <f>A14+1</f>
        <v>2</v>
      </c>
      <c r="B15" s="212" t="s">
        <v>346</v>
      </c>
      <c r="C15" s="5" t="s">
        <v>245</v>
      </c>
      <c r="D15" s="215">
        <v>0</v>
      </c>
      <c r="E15" s="215">
        <v>0</v>
      </c>
      <c r="F15" s="215">
        <v>0</v>
      </c>
      <c r="G15" s="215">
        <v>0</v>
      </c>
      <c r="H15" s="215">
        <v>0</v>
      </c>
      <c r="I15" s="215">
        <v>0</v>
      </c>
      <c r="J15" s="116"/>
      <c r="K15" s="116"/>
      <c r="L15" s="116"/>
      <c r="M15" s="116"/>
      <c r="N15" s="116"/>
      <c r="O15" s="116"/>
      <c r="P15" s="5">
        <f t="shared" si="0"/>
        <v>0</v>
      </c>
      <c r="Q15" s="196"/>
      <c r="R15" s="5"/>
    </row>
    <row r="16" spans="1:18">
      <c r="A16" s="8">
        <f t="shared" ref="A16:A56" si="1">A15+1</f>
        <v>3</v>
      </c>
      <c r="B16" s="212">
        <v>4081</v>
      </c>
      <c r="C16" s="5" t="s">
        <v>246</v>
      </c>
      <c r="D16" s="215">
        <v>-1.000000002568413E-2</v>
      </c>
      <c r="E16" s="215">
        <v>1.9999999990268691E-2</v>
      </c>
      <c r="F16" s="215">
        <v>-5.9117155615240335E-12</v>
      </c>
      <c r="G16" s="215">
        <v>240932.20000000007</v>
      </c>
      <c r="H16" s="215">
        <v>-240932.21</v>
      </c>
      <c r="I16" s="215">
        <v>-2.9786034749790247E-12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5">
        <f t="shared" ref="P16:P50" si="2">SUM(D16:O16)</f>
        <v>2.6125226981754679E-11</v>
      </c>
      <c r="Q16" s="5"/>
      <c r="R16" s="5"/>
    </row>
    <row r="17" spans="1:18">
      <c r="A17" s="8">
        <f t="shared" si="1"/>
        <v>4</v>
      </c>
      <c r="B17" s="212">
        <v>8170</v>
      </c>
      <c r="C17" s="5" t="s">
        <v>275</v>
      </c>
      <c r="D17" s="215">
        <v>38.979999999999997</v>
      </c>
      <c r="E17" s="215">
        <v>41.37</v>
      </c>
      <c r="F17" s="215">
        <v>41.85</v>
      </c>
      <c r="G17" s="215">
        <v>39.78</v>
      </c>
      <c r="H17" s="215">
        <v>40.81</v>
      </c>
      <c r="I17" s="215">
        <v>46.65</v>
      </c>
      <c r="J17" s="116">
        <v>47.535253756182058</v>
      </c>
      <c r="K17" s="116">
        <v>47.076993715176023</v>
      </c>
      <c r="L17" s="116">
        <v>47.159209184374923</v>
      </c>
      <c r="M17" s="116">
        <v>40.749447604237574</v>
      </c>
      <c r="N17" s="116">
        <v>41.422094957848472</v>
      </c>
      <c r="O17" s="116">
        <v>40.995310145974692</v>
      </c>
      <c r="P17" s="5">
        <f t="shared" si="2"/>
        <v>514.37830936379362</v>
      </c>
      <c r="Q17" s="5"/>
      <c r="R17" s="5"/>
    </row>
    <row r="18" spans="1:18">
      <c r="A18" s="8">
        <f t="shared" si="1"/>
        <v>5</v>
      </c>
      <c r="B18" s="212">
        <v>8180</v>
      </c>
      <c r="C18" s="5" t="s">
        <v>276</v>
      </c>
      <c r="D18" s="215">
        <v>40.56</v>
      </c>
      <c r="E18" s="215">
        <v>43.050000000000011</v>
      </c>
      <c r="F18" s="215">
        <v>43.849999999999994</v>
      </c>
      <c r="G18" s="215">
        <v>41.389999999999986</v>
      </c>
      <c r="H18" s="215">
        <v>42.460000000000036</v>
      </c>
      <c r="I18" s="215">
        <v>48.539999999999964</v>
      </c>
      <c r="J18" s="116">
        <v>49.519065460807838</v>
      </c>
      <c r="K18" s="116">
        <v>49.041680632170028</v>
      </c>
      <c r="L18" s="116">
        <v>49.127327239255237</v>
      </c>
      <c r="M18" s="116">
        <v>42.450063983166842</v>
      </c>
      <c r="N18" s="116">
        <v>43.150783253675939</v>
      </c>
      <c r="O18" s="116">
        <v>42.706187225110341</v>
      </c>
      <c r="P18" s="5">
        <f t="shared" si="2"/>
        <v>535.84510779418633</v>
      </c>
      <c r="Q18" s="5"/>
      <c r="R18" s="5"/>
    </row>
    <row r="19" spans="1:18">
      <c r="A19" s="8">
        <f t="shared" si="1"/>
        <v>6</v>
      </c>
      <c r="B19" s="212">
        <v>8190</v>
      </c>
      <c r="C19" s="5" t="s">
        <v>277</v>
      </c>
      <c r="D19" s="215">
        <v>128.16</v>
      </c>
      <c r="E19" s="215">
        <v>845.37</v>
      </c>
      <c r="F19" s="215">
        <v>139.44999999999999</v>
      </c>
      <c r="G19" s="215">
        <v>9.6199999999999992</v>
      </c>
      <c r="H19" s="215">
        <v>12.11</v>
      </c>
      <c r="I19" s="215">
        <v>1762.6</v>
      </c>
      <c r="J19" s="116">
        <v>552.13424494998333</v>
      </c>
      <c r="K19" s="116">
        <v>546.8114362608909</v>
      </c>
      <c r="L19" s="116">
        <v>547.7663901618879</v>
      </c>
      <c r="M19" s="116">
        <v>473.3153545471198</v>
      </c>
      <c r="N19" s="116">
        <v>481.1283272222737</v>
      </c>
      <c r="O19" s="116">
        <v>476.17111144577422</v>
      </c>
      <c r="P19" s="5">
        <f t="shared" si="2"/>
        <v>5974.6368645879284</v>
      </c>
      <c r="Q19" s="5"/>
      <c r="R19" s="5"/>
    </row>
    <row r="20" spans="1:18">
      <c r="A20" s="8">
        <f t="shared" si="1"/>
        <v>7</v>
      </c>
      <c r="B20" s="212">
        <v>8210</v>
      </c>
      <c r="C20" s="5" t="s">
        <v>279</v>
      </c>
      <c r="D20" s="215">
        <v>541.9799999999999</v>
      </c>
      <c r="E20" s="215">
        <v>411.51</v>
      </c>
      <c r="F20" s="215">
        <v>340.43</v>
      </c>
      <c r="G20" s="215">
        <v>175.55</v>
      </c>
      <c r="H20" s="215">
        <v>119.37</v>
      </c>
      <c r="I20" s="215">
        <v>128.78</v>
      </c>
      <c r="J20" s="116">
        <v>327.32321422664131</v>
      </c>
      <c r="K20" s="116">
        <v>324.16767938205834</v>
      </c>
      <c r="L20" s="116">
        <v>324.73380724529363</v>
      </c>
      <c r="M20" s="116">
        <v>280.59680161157206</v>
      </c>
      <c r="N20" s="116">
        <v>285.22858700088068</v>
      </c>
      <c r="O20" s="116">
        <v>282.28978757588612</v>
      </c>
      <c r="P20" s="5">
        <f t="shared" si="2"/>
        <v>3541.9598770423318</v>
      </c>
      <c r="Q20" s="5"/>
      <c r="R20" s="5"/>
    </row>
    <row r="21" spans="1:18">
      <c r="A21" s="8">
        <f t="shared" si="1"/>
        <v>8</v>
      </c>
      <c r="B21" s="212">
        <v>8240</v>
      </c>
      <c r="C21" s="5" t="s">
        <v>280</v>
      </c>
      <c r="D21" s="215">
        <f>0</f>
        <v>0</v>
      </c>
      <c r="E21" s="215">
        <f>0</f>
        <v>0</v>
      </c>
      <c r="F21" s="215">
        <f>0</f>
        <v>0</v>
      </c>
      <c r="G21" s="215">
        <f>0</f>
        <v>0</v>
      </c>
      <c r="H21" s="215">
        <f>0</f>
        <v>0</v>
      </c>
      <c r="I21" s="215">
        <f>0</f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5">
        <f t="shared" si="2"/>
        <v>0</v>
      </c>
      <c r="Q21" s="5"/>
      <c r="R21" s="5"/>
    </row>
    <row r="22" spans="1:18">
      <c r="A22" s="8">
        <f t="shared" si="1"/>
        <v>9</v>
      </c>
      <c r="B22" s="212">
        <v>8250</v>
      </c>
      <c r="C22" s="5" t="s">
        <v>281</v>
      </c>
      <c r="D22" s="215">
        <v>2034.2600000000002</v>
      </c>
      <c r="E22" s="215">
        <v>-180.12</v>
      </c>
      <c r="F22" s="215">
        <v>1203.19</v>
      </c>
      <c r="G22" s="215">
        <v>2816.67</v>
      </c>
      <c r="H22" s="215">
        <v>1847.3300000000004</v>
      </c>
      <c r="I22" s="215">
        <v>708.87</v>
      </c>
      <c r="J22" s="116">
        <v>1606.5254017614097</v>
      </c>
      <c r="K22" s="116">
        <v>1591.0378143749076</v>
      </c>
      <c r="L22" s="116">
        <v>1593.8164098224725</v>
      </c>
      <c r="M22" s="116">
        <v>1377.1888758548896</v>
      </c>
      <c r="N22" s="116">
        <v>1399.9220049456953</v>
      </c>
      <c r="O22" s="116">
        <v>1385.4981702717923</v>
      </c>
      <c r="P22" s="5">
        <f t="shared" si="2"/>
        <v>17384.188677031168</v>
      </c>
      <c r="Q22" s="5"/>
      <c r="R22" s="5"/>
    </row>
    <row r="23" spans="1:18">
      <c r="A23" s="8"/>
      <c r="B23" s="212">
        <v>8500</v>
      </c>
      <c r="C23" s="5" t="s">
        <v>150</v>
      </c>
      <c r="D23" s="215">
        <v>4.38</v>
      </c>
      <c r="E23" s="215">
        <v>29.66</v>
      </c>
      <c r="F23" s="215">
        <v>0</v>
      </c>
      <c r="G23" s="215">
        <v>0</v>
      </c>
      <c r="H23" s="215">
        <v>8377.74</v>
      </c>
      <c r="I23" s="215">
        <v>0</v>
      </c>
      <c r="J23" s="116">
        <v>6320.0316370470173</v>
      </c>
      <c r="K23" s="116">
        <v>6417.1027489923435</v>
      </c>
      <c r="L23" s="116">
        <v>6659.2576150724317</v>
      </c>
      <c r="M23" s="116">
        <v>6696.4044167520033</v>
      </c>
      <c r="N23" s="116">
        <v>6860.1139119980571</v>
      </c>
      <c r="O23" s="116">
        <v>6987.1158933009101</v>
      </c>
      <c r="P23" s="5">
        <f t="shared" si="2"/>
        <v>48351.806223162755</v>
      </c>
      <c r="Q23" s="5"/>
      <c r="R23" s="5"/>
    </row>
    <row r="24" spans="1:18">
      <c r="A24" s="8">
        <f>A22+1</f>
        <v>10</v>
      </c>
      <c r="B24" s="212">
        <v>8560</v>
      </c>
      <c r="C24" s="5" t="s">
        <v>288</v>
      </c>
      <c r="D24" s="215">
        <v>52.150000000000034</v>
      </c>
      <c r="E24" s="215">
        <v>55.350000000000023</v>
      </c>
      <c r="F24" s="215">
        <v>-5.5900000000000318</v>
      </c>
      <c r="G24" s="215">
        <v>115.19</v>
      </c>
      <c r="H24" s="215">
        <v>188.96999999999997</v>
      </c>
      <c r="I24" s="215">
        <v>62.399999999999977</v>
      </c>
      <c r="J24" s="116">
        <v>71.357679008849502</v>
      </c>
      <c r="K24" s="116">
        <v>89.142879193792652</v>
      </c>
      <c r="L24" s="116">
        <v>99.581167574902651</v>
      </c>
      <c r="M24" s="116">
        <v>78.863754640246754</v>
      </c>
      <c r="N24" s="116">
        <v>84.160059462032748</v>
      </c>
      <c r="O24" s="116">
        <v>65.919388769020557</v>
      </c>
      <c r="P24" s="5">
        <f t="shared" si="2"/>
        <v>957.49492864884485</v>
      </c>
      <c r="Q24" s="5"/>
      <c r="R24" s="5"/>
    </row>
    <row r="25" spans="1:18">
      <c r="A25" s="8">
        <f t="shared" si="1"/>
        <v>11</v>
      </c>
      <c r="B25" s="212">
        <v>8570</v>
      </c>
      <c r="C25" s="5" t="s">
        <v>289</v>
      </c>
      <c r="D25" s="215">
        <v>77.97</v>
      </c>
      <c r="E25" s="215">
        <v>82.74</v>
      </c>
      <c r="F25" s="215">
        <v>83.69</v>
      </c>
      <c r="G25" s="215">
        <v>79.56</v>
      </c>
      <c r="H25" s="215">
        <v>81.62</v>
      </c>
      <c r="I25" s="215">
        <v>93.29</v>
      </c>
      <c r="J25" s="116">
        <v>95.068601833493204</v>
      </c>
      <c r="K25" s="116">
        <v>94.152100123035055</v>
      </c>
      <c r="L25" s="116">
        <v>94.316527765431047</v>
      </c>
      <c r="M25" s="116">
        <v>81.497261571223532</v>
      </c>
      <c r="N25" s="116">
        <v>82.842529312146681</v>
      </c>
      <c r="O25" s="116">
        <v>81.988976798117363</v>
      </c>
      <c r="P25" s="5">
        <f t="shared" si="2"/>
        <v>1028.7359974034468</v>
      </c>
      <c r="Q25" s="5"/>
      <c r="R25" s="261"/>
    </row>
    <row r="26" spans="1:18">
      <c r="A26" s="8">
        <f t="shared" si="1"/>
        <v>12</v>
      </c>
      <c r="B26" s="212">
        <v>8650</v>
      </c>
      <c r="C26" s="262" t="s">
        <v>347</v>
      </c>
      <c r="D26" s="215">
        <v>0</v>
      </c>
      <c r="E26" s="215">
        <v>0</v>
      </c>
      <c r="F26" s="215">
        <v>0</v>
      </c>
      <c r="G26" s="215">
        <v>5332.5</v>
      </c>
      <c r="H26" s="215">
        <v>0</v>
      </c>
      <c r="I26" s="215">
        <v>0</v>
      </c>
      <c r="J26" s="116">
        <v>4023.9077890941535</v>
      </c>
      <c r="K26" s="116">
        <v>4084.5749080028245</v>
      </c>
      <c r="L26" s="116">
        <v>4239.1592945024722</v>
      </c>
      <c r="M26" s="116">
        <v>4264.3130924060515</v>
      </c>
      <c r="N26" s="116">
        <v>4363.3947468683791</v>
      </c>
      <c r="O26" s="116">
        <v>4449.1890820726312</v>
      </c>
      <c r="P26" s="5">
        <f t="shared" si="2"/>
        <v>30757.038912946511</v>
      </c>
      <c r="Q26" s="5"/>
      <c r="R26" s="261"/>
    </row>
    <row r="27" spans="1:18">
      <c r="A27" s="8">
        <f t="shared" si="1"/>
        <v>13</v>
      </c>
      <c r="B27" s="212">
        <v>8700</v>
      </c>
      <c r="C27" s="5" t="s">
        <v>293</v>
      </c>
      <c r="D27" s="215">
        <v>284070.41000000009</v>
      </c>
      <c r="E27" s="215">
        <v>213573.84000000005</v>
      </c>
      <c r="F27" s="215">
        <v>232792.85000000003</v>
      </c>
      <c r="G27" s="215">
        <v>266021.45999999985</v>
      </c>
      <c r="H27" s="215">
        <v>223520.58</v>
      </c>
      <c r="I27" s="215">
        <v>229136.60999999993</v>
      </c>
      <c r="J27" s="116">
        <v>277585.56687904592</v>
      </c>
      <c r="K27" s="116">
        <v>309507.96918270743</v>
      </c>
      <c r="L27" s="116">
        <v>315310.28808785614</v>
      </c>
      <c r="M27" s="116">
        <v>259992.46693498504</v>
      </c>
      <c r="N27" s="116">
        <v>304990.55807713856</v>
      </c>
      <c r="O27" s="116">
        <v>263558.44228247023</v>
      </c>
      <c r="P27" s="5">
        <f t="shared" si="2"/>
        <v>3180061.0414442029</v>
      </c>
      <c r="Q27" s="5"/>
      <c r="R27" s="261"/>
    </row>
    <row r="28" spans="1:18">
      <c r="A28" s="8">
        <f t="shared" si="1"/>
        <v>14</v>
      </c>
      <c r="B28" s="212">
        <v>8711</v>
      </c>
      <c r="C28" s="5" t="s">
        <v>295</v>
      </c>
      <c r="D28" s="215">
        <v>11656.150000000001</v>
      </c>
      <c r="E28" s="215">
        <v>3070.17</v>
      </c>
      <c r="F28" s="215">
        <v>19229.599999999999</v>
      </c>
      <c r="G28" s="215">
        <v>4460.67</v>
      </c>
      <c r="H28" s="215">
        <v>0</v>
      </c>
      <c r="I28" s="215">
        <v>6557.9699999999993</v>
      </c>
      <c r="J28" s="116">
        <v>2573.9898582355681</v>
      </c>
      <c r="K28" s="116">
        <v>8731.7947727328283</v>
      </c>
      <c r="L28" s="116">
        <v>12188.447569604032</v>
      </c>
      <c r="M28" s="116">
        <v>8127.9410753636785</v>
      </c>
      <c r="N28" s="116">
        <v>9598.9980041400049</v>
      </c>
      <c r="O28" s="116">
        <v>3685.4852452222749</v>
      </c>
      <c r="P28" s="5">
        <f t="shared" si="2"/>
        <v>89881.216525298383</v>
      </c>
      <c r="Q28" s="5"/>
      <c r="R28" s="261"/>
    </row>
    <row r="29" spans="1:18">
      <c r="A29" s="8">
        <f t="shared" si="1"/>
        <v>15</v>
      </c>
      <c r="B29" s="212">
        <v>8740</v>
      </c>
      <c r="C29" s="5" t="s">
        <v>297</v>
      </c>
      <c r="D29" s="215">
        <v>10200.090000000002</v>
      </c>
      <c r="E29" s="215">
        <v>9564.3299999999981</v>
      </c>
      <c r="F29" s="215">
        <v>4077.5199999999986</v>
      </c>
      <c r="G29" s="215">
        <v>7526.2899999999991</v>
      </c>
      <c r="H29" s="215">
        <v>11353.000000000002</v>
      </c>
      <c r="I29" s="215">
        <v>9116.6899999999987</v>
      </c>
      <c r="J29" s="116">
        <v>2306.8534449320514</v>
      </c>
      <c r="K29" s="116">
        <v>2555.7007167880374</v>
      </c>
      <c r="L29" s="116">
        <v>3556.0894908454443</v>
      </c>
      <c r="M29" s="116">
        <v>1748.759481340657</v>
      </c>
      <c r="N29" s="116">
        <v>2213.4161061606551</v>
      </c>
      <c r="O29" s="116">
        <v>1844.6534552949045</v>
      </c>
      <c r="P29" s="5">
        <f t="shared" si="2"/>
        <v>66063.392695361748</v>
      </c>
      <c r="Q29" s="5"/>
      <c r="R29" s="261"/>
    </row>
    <row r="30" spans="1:18">
      <c r="A30" s="8">
        <f t="shared" si="1"/>
        <v>16</v>
      </c>
      <c r="B30" s="212">
        <v>8750</v>
      </c>
      <c r="C30" s="5" t="s">
        <v>298</v>
      </c>
      <c r="D30" s="215">
        <v>7224.27</v>
      </c>
      <c r="E30" s="215">
        <v>9359.5400000000009</v>
      </c>
      <c r="F30" s="215">
        <v>10704.849999999999</v>
      </c>
      <c r="G30" s="215">
        <v>9177.7899999999991</v>
      </c>
      <c r="H30" s="215">
        <v>17655.87</v>
      </c>
      <c r="I30" s="215">
        <v>10259</v>
      </c>
      <c r="J30" s="116">
        <v>15439.551821733447</v>
      </c>
      <c r="K30" s="116">
        <v>19027.780130014351</v>
      </c>
      <c r="L30" s="116">
        <v>19050.116256029454</v>
      </c>
      <c r="M30" s="116">
        <v>17435.631774128415</v>
      </c>
      <c r="N30" s="116">
        <v>18735.165286343774</v>
      </c>
      <c r="O30" s="116">
        <v>15285.677649070971</v>
      </c>
      <c r="P30" s="5">
        <f t="shared" si="2"/>
        <v>169355.2429173204</v>
      </c>
      <c r="Q30" s="5"/>
      <c r="R30" s="261"/>
    </row>
    <row r="31" spans="1:18">
      <c r="A31" s="8">
        <f t="shared" si="1"/>
        <v>17</v>
      </c>
      <c r="B31" s="212">
        <v>8760</v>
      </c>
      <c r="C31" s="9" t="s">
        <v>299</v>
      </c>
      <c r="D31" s="215">
        <v>5809.56</v>
      </c>
      <c r="E31" s="215">
        <v>-6411.82</v>
      </c>
      <c r="F31" s="215">
        <v>0</v>
      </c>
      <c r="G31" s="215">
        <v>0</v>
      </c>
      <c r="H31" s="215">
        <v>0</v>
      </c>
      <c r="I31" s="215">
        <v>0</v>
      </c>
      <c r="J31" s="116">
        <v>-34.468622528401639</v>
      </c>
      <c r="K31" s="116">
        <v>-116.92856405545864</v>
      </c>
      <c r="L31" s="116">
        <v>-163.21703721547729</v>
      </c>
      <c r="M31" s="116">
        <v>-108.84228310512705</v>
      </c>
      <c r="N31" s="116">
        <v>-128.54139179957184</v>
      </c>
      <c r="O31" s="116">
        <v>-49.352797310025153</v>
      </c>
      <c r="P31" s="5">
        <f t="shared" si="2"/>
        <v>-1203.6106960140607</v>
      </c>
      <c r="Q31" s="5"/>
      <c r="R31" s="261"/>
    </row>
    <row r="32" spans="1:18">
      <c r="A32" s="8">
        <f t="shared" si="1"/>
        <v>18</v>
      </c>
      <c r="B32" s="212">
        <v>8770</v>
      </c>
      <c r="C32" s="5" t="s">
        <v>300</v>
      </c>
      <c r="D32" s="215">
        <v>0</v>
      </c>
      <c r="E32" s="215">
        <v>0</v>
      </c>
      <c r="F32" s="215">
        <v>21.24</v>
      </c>
      <c r="G32" s="215">
        <v>154.77000000000001</v>
      </c>
      <c r="H32" s="215">
        <v>197.76</v>
      </c>
      <c r="I32" s="215">
        <v>-19.96</v>
      </c>
      <c r="J32" s="116">
        <v>20.249299865131</v>
      </c>
      <c r="K32" s="116">
        <v>68.692085226416935</v>
      </c>
      <c r="L32" s="116">
        <v>95.885198979191841</v>
      </c>
      <c r="M32" s="116">
        <v>63.941633489564374</v>
      </c>
      <c r="N32" s="116">
        <v>75.514279269097329</v>
      </c>
      <c r="O32" s="116">
        <v>28.993313878158961</v>
      </c>
      <c r="P32" s="5">
        <f t="shared" si="2"/>
        <v>707.08581070756043</v>
      </c>
      <c r="Q32" s="5"/>
      <c r="R32" s="261"/>
    </row>
    <row r="33" spans="1:18">
      <c r="A33" s="8">
        <f t="shared" si="1"/>
        <v>19</v>
      </c>
      <c r="B33" s="212">
        <v>8800</v>
      </c>
      <c r="C33" s="5" t="s">
        <v>303</v>
      </c>
      <c r="D33" s="215">
        <v>7.22</v>
      </c>
      <c r="E33" s="215">
        <v>0</v>
      </c>
      <c r="F33" s="215">
        <v>201.67</v>
      </c>
      <c r="G33" s="215">
        <v>0</v>
      </c>
      <c r="H33" s="215">
        <v>0</v>
      </c>
      <c r="I33" s="215">
        <v>0</v>
      </c>
      <c r="J33" s="116">
        <v>43.722599860356887</v>
      </c>
      <c r="K33" s="116">
        <v>51.526180305346564</v>
      </c>
      <c r="L33" s="116">
        <v>50.725774603207604</v>
      </c>
      <c r="M33" s="116">
        <v>42.221944945934013</v>
      </c>
      <c r="N33" s="116">
        <v>75.016584643669106</v>
      </c>
      <c r="O33" s="116">
        <v>45.726111016051902</v>
      </c>
      <c r="P33" s="5">
        <f t="shared" si="2"/>
        <v>517.8291953745661</v>
      </c>
      <c r="Q33" s="5"/>
      <c r="R33" s="261"/>
    </row>
    <row r="34" spans="1:18">
      <c r="A34" s="8">
        <f t="shared" si="1"/>
        <v>20</v>
      </c>
      <c r="B34" s="212">
        <v>8810</v>
      </c>
      <c r="C34" s="5" t="s">
        <v>304</v>
      </c>
      <c r="D34" s="215">
        <v>26101.8</v>
      </c>
      <c r="E34" s="215">
        <v>39903.569999999992</v>
      </c>
      <c r="F34" s="215">
        <v>7661.8200000000015</v>
      </c>
      <c r="G34" s="215">
        <v>22113.65</v>
      </c>
      <c r="H34" s="215">
        <v>23129.929999999997</v>
      </c>
      <c r="I34" s="215">
        <v>22121.93</v>
      </c>
      <c r="J34" s="116">
        <v>26876.303649853653</v>
      </c>
      <c r="K34" s="116">
        <v>26617.204664585886</v>
      </c>
      <c r="L34" s="116">
        <v>26663.689068061231</v>
      </c>
      <c r="M34" s="116">
        <v>23039.627241557715</v>
      </c>
      <c r="N34" s="116">
        <v>23419.940232367524</v>
      </c>
      <c r="O34" s="116">
        <v>23178.637256351038</v>
      </c>
      <c r="P34" s="5">
        <f t="shared" si="2"/>
        <v>290828.10211277707</v>
      </c>
      <c r="Q34" s="5"/>
      <c r="R34" s="261"/>
    </row>
    <row r="35" spans="1:18">
      <c r="A35" s="8">
        <f t="shared" si="1"/>
        <v>21</v>
      </c>
      <c r="B35" s="212">
        <v>9010</v>
      </c>
      <c r="C35" s="9" t="s">
        <v>314</v>
      </c>
      <c r="D35" s="215">
        <v>2224.7800000000002</v>
      </c>
      <c r="E35" s="215">
        <v>2129.21</v>
      </c>
      <c r="F35" s="215">
        <v>2392.91</v>
      </c>
      <c r="G35" s="215">
        <v>2130.86</v>
      </c>
      <c r="H35" s="215">
        <v>2375.35</v>
      </c>
      <c r="I35" s="215">
        <v>1986.12</v>
      </c>
      <c r="J35" s="116">
        <v>2027.0635994460692</v>
      </c>
      <c r="K35" s="116">
        <v>2227.4906203635287</v>
      </c>
      <c r="L35" s="116">
        <v>2042.2348812632815</v>
      </c>
      <c r="M35" s="116">
        <v>1876.7858203186709</v>
      </c>
      <c r="N35" s="116">
        <v>1950.2287772661598</v>
      </c>
      <c r="O35" s="116">
        <v>1803.4902502132636</v>
      </c>
      <c r="P35" s="5">
        <f t="shared" si="2"/>
        <v>25166.52394887097</v>
      </c>
      <c r="Q35" s="5"/>
      <c r="R35" s="261"/>
    </row>
    <row r="36" spans="1:18">
      <c r="A36" s="8"/>
      <c r="B36" s="212">
        <v>9020</v>
      </c>
      <c r="C36" s="9" t="s">
        <v>315</v>
      </c>
      <c r="D36" s="215">
        <v>0</v>
      </c>
      <c r="E36" s="215">
        <v>0</v>
      </c>
      <c r="F36" s="215">
        <v>0</v>
      </c>
      <c r="G36" s="215">
        <v>0</v>
      </c>
      <c r="H36" s="215">
        <v>-90</v>
      </c>
      <c r="I36" s="215">
        <v>0</v>
      </c>
      <c r="J36" s="116">
        <v>-67.914055512137608</v>
      </c>
      <c r="K36" s="116">
        <v>-68.937973130849372</v>
      </c>
      <c r="L36" s="116">
        <v>-71.546992312278007</v>
      </c>
      <c r="M36" s="116">
        <v>-71.971528985756137</v>
      </c>
      <c r="N36" s="116">
        <v>-73.643793196090783</v>
      </c>
      <c r="O36" s="116">
        <v>-75.091798853546521</v>
      </c>
      <c r="P36" s="5">
        <f t="shared" si="2"/>
        <v>-519.10614199065844</v>
      </c>
      <c r="Q36" s="5"/>
      <c r="R36" s="261"/>
    </row>
    <row r="37" spans="1:18">
      <c r="A37" s="8">
        <f>A35+1</f>
        <v>22</v>
      </c>
      <c r="B37" s="212">
        <v>9030</v>
      </c>
      <c r="C37" s="5" t="s">
        <v>316</v>
      </c>
      <c r="D37" s="215">
        <v>258815.49</v>
      </c>
      <c r="E37" s="215">
        <v>236243.71</v>
      </c>
      <c r="F37" s="215">
        <v>-219998.26999999996</v>
      </c>
      <c r="G37" s="215">
        <v>155498.62</v>
      </c>
      <c r="H37" s="215">
        <v>160887.69</v>
      </c>
      <c r="I37" s="215">
        <v>154332.61000000002</v>
      </c>
      <c r="J37" s="116">
        <v>297001.53863653279</v>
      </c>
      <c r="K37" s="116">
        <v>306785.26802791713</v>
      </c>
      <c r="L37" s="116">
        <v>309333.1114503782</v>
      </c>
      <c r="M37" s="116">
        <v>305777.71600617748</v>
      </c>
      <c r="N37" s="116">
        <v>311450.9170103338</v>
      </c>
      <c r="O37" s="116">
        <v>313593.40017580951</v>
      </c>
      <c r="P37" s="5">
        <f t="shared" si="2"/>
        <v>2589721.8013071488</v>
      </c>
      <c r="Q37" s="5"/>
      <c r="R37" s="261"/>
    </row>
    <row r="38" spans="1:18">
      <c r="A38" s="8">
        <f t="shared" si="1"/>
        <v>23</v>
      </c>
      <c r="B38" s="212">
        <v>9100</v>
      </c>
      <c r="C38" s="5" t="s">
        <v>319</v>
      </c>
      <c r="D38" s="215">
        <v>204.4</v>
      </c>
      <c r="E38" s="215">
        <v>150.75</v>
      </c>
      <c r="F38" s="215">
        <v>130.11000000000001</v>
      </c>
      <c r="G38" s="215">
        <v>108.7</v>
      </c>
      <c r="H38" s="215">
        <v>10.050000000000001</v>
      </c>
      <c r="I38" s="215">
        <v>0</v>
      </c>
      <c r="J38" s="116">
        <v>53.684474199866678</v>
      </c>
      <c r="K38" s="116">
        <v>187.51491475779758</v>
      </c>
      <c r="L38" s="116">
        <v>149.8854460570829</v>
      </c>
      <c r="M38" s="116">
        <v>103.84502342344136</v>
      </c>
      <c r="N38" s="116">
        <v>102.59100089985874</v>
      </c>
      <c r="O38" s="116">
        <v>93.093067977990714</v>
      </c>
      <c r="P38" s="5">
        <f t="shared" si="2"/>
        <v>1294.6239273160379</v>
      </c>
      <c r="Q38" s="5"/>
      <c r="R38" s="261"/>
    </row>
    <row r="39" spans="1:18">
      <c r="A39" s="8">
        <f t="shared" si="1"/>
        <v>24</v>
      </c>
      <c r="B39" s="212">
        <v>9110</v>
      </c>
      <c r="C39" s="5" t="s">
        <v>320</v>
      </c>
      <c r="D39" s="215">
        <v>9137.02</v>
      </c>
      <c r="E39" s="215">
        <v>9790.74</v>
      </c>
      <c r="F39" s="215">
        <v>8775.6</v>
      </c>
      <c r="G39" s="215">
        <v>15140.27</v>
      </c>
      <c r="H39" s="215">
        <v>7192.99</v>
      </c>
      <c r="I39" s="215">
        <v>12703.889999999998</v>
      </c>
      <c r="J39" s="116">
        <v>10347.698747033826</v>
      </c>
      <c r="K39" s="116">
        <v>11701.150244974573</v>
      </c>
      <c r="L39" s="116">
        <v>10923.464012732249</v>
      </c>
      <c r="M39" s="116">
        <v>9686.5078576716405</v>
      </c>
      <c r="N39" s="116">
        <v>12085.522334394489</v>
      </c>
      <c r="O39" s="116">
        <v>9618.3420813806097</v>
      </c>
      <c r="P39" s="5">
        <f t="shared" si="2"/>
        <v>127103.19527818738</v>
      </c>
      <c r="Q39" s="5"/>
      <c r="R39" s="261"/>
    </row>
    <row r="40" spans="1:18">
      <c r="A40" s="8">
        <f t="shared" si="1"/>
        <v>25</v>
      </c>
      <c r="B40" s="212">
        <v>9120</v>
      </c>
      <c r="C40" s="5" t="s">
        <v>321</v>
      </c>
      <c r="D40" s="215">
        <v>395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116">
        <v>35.107642769072257</v>
      </c>
      <c r="K40" s="116">
        <v>122.62775670821682</v>
      </c>
      <c r="L40" s="116">
        <v>98.019488406727945</v>
      </c>
      <c r="M40" s="116">
        <v>67.910770106884542</v>
      </c>
      <c r="N40" s="116">
        <v>67.090686173149791</v>
      </c>
      <c r="O40" s="116">
        <v>60.87939247910851</v>
      </c>
      <c r="P40" s="5">
        <f t="shared" si="2"/>
        <v>846.63573664316004</v>
      </c>
      <c r="Q40" s="5"/>
      <c r="R40" s="261"/>
    </row>
    <row r="41" spans="1:18">
      <c r="A41" s="8">
        <f t="shared" si="1"/>
        <v>26</v>
      </c>
      <c r="B41" s="212">
        <v>9130</v>
      </c>
      <c r="C41" s="5" t="s">
        <v>322</v>
      </c>
      <c r="D41" s="215">
        <v>92.5</v>
      </c>
      <c r="E41" s="215">
        <v>0</v>
      </c>
      <c r="F41" s="215">
        <v>0</v>
      </c>
      <c r="G41" s="215">
        <v>206.34</v>
      </c>
      <c r="H41" s="215">
        <v>0</v>
      </c>
      <c r="I41" s="215">
        <v>0</v>
      </c>
      <c r="J41" s="116">
        <v>26.560931557239378</v>
      </c>
      <c r="K41" s="116">
        <v>92.774883075148125</v>
      </c>
      <c r="L41" s="116">
        <v>74.157326368269821</v>
      </c>
      <c r="M41" s="116">
        <v>51.378365920864248</v>
      </c>
      <c r="N41" s="116">
        <v>50.757925711352108</v>
      </c>
      <c r="O41" s="116">
        <v>46.05872822394123</v>
      </c>
      <c r="P41" s="5">
        <f t="shared" si="2"/>
        <v>640.52816085681491</v>
      </c>
      <c r="Q41" s="5"/>
      <c r="R41" s="261"/>
    </row>
    <row r="42" spans="1:18">
      <c r="A42" s="8">
        <f t="shared" si="1"/>
        <v>27</v>
      </c>
      <c r="B42" s="212">
        <v>9200</v>
      </c>
      <c r="C42" s="5" t="s">
        <v>323</v>
      </c>
      <c r="D42" s="215">
        <v>-4731.29</v>
      </c>
      <c r="E42" s="215">
        <v>-25367.87</v>
      </c>
      <c r="F42" s="215">
        <v>-6325.79</v>
      </c>
      <c r="G42" s="215">
        <v>-4895.53</v>
      </c>
      <c r="H42" s="215">
        <v>-26382.78</v>
      </c>
      <c r="I42" s="215">
        <v>-5662.56</v>
      </c>
      <c r="J42" s="116">
        <v>270.62672350969581</v>
      </c>
      <c r="K42" s="116">
        <v>-64.86095026265437</v>
      </c>
      <c r="L42" s="116">
        <v>-69.334119246285709</v>
      </c>
      <c r="M42" s="116">
        <v>9231.9994590432507</v>
      </c>
      <c r="N42" s="116">
        <v>8908.3813391689655</v>
      </c>
      <c r="O42" s="116">
        <v>8869.8966534767424</v>
      </c>
      <c r="P42" s="5">
        <f t="shared" si="2"/>
        <v>-46219.110894310288</v>
      </c>
      <c r="Q42" s="5"/>
      <c r="R42" s="261"/>
    </row>
    <row r="43" spans="1:18">
      <c r="A43" s="8">
        <f t="shared" si="1"/>
        <v>28</v>
      </c>
      <c r="B43" s="212">
        <v>9210</v>
      </c>
      <c r="C43" s="5" t="s">
        <v>324</v>
      </c>
      <c r="D43" s="215">
        <v>0</v>
      </c>
      <c r="E43" s="215">
        <v>1331.8400000000001</v>
      </c>
      <c r="F43" s="215">
        <v>7.58</v>
      </c>
      <c r="G43" s="215">
        <v>0</v>
      </c>
      <c r="H43" s="215">
        <v>9.56</v>
      </c>
      <c r="I43" s="215">
        <v>0</v>
      </c>
      <c r="J43" s="116">
        <v>236.39356481530194</v>
      </c>
      <c r="K43" s="116">
        <v>359.18360560210397</v>
      </c>
      <c r="L43" s="116">
        <v>332.1151378826973</v>
      </c>
      <c r="M43" s="116">
        <v>261.16839866612747</v>
      </c>
      <c r="N43" s="116">
        <v>411.65701625794969</v>
      </c>
      <c r="O43" s="116">
        <v>270.19209505575674</v>
      </c>
      <c r="P43" s="5">
        <f t="shared" si="2"/>
        <v>3219.6898182799368</v>
      </c>
      <c r="Q43" s="5"/>
      <c r="R43" s="5"/>
    </row>
    <row r="44" spans="1:18">
      <c r="A44" s="8">
        <f t="shared" si="1"/>
        <v>29</v>
      </c>
      <c r="B44" s="212">
        <v>9220</v>
      </c>
      <c r="C44" s="5" t="s">
        <v>325</v>
      </c>
      <c r="D44" s="215">
        <v>-831246.35</v>
      </c>
      <c r="E44" s="215">
        <v>-694191.90999999968</v>
      </c>
      <c r="F44" s="215">
        <v>-477225.28000000044</v>
      </c>
      <c r="G44" s="215">
        <v>-708629.43999999983</v>
      </c>
      <c r="H44" s="215">
        <v>-704519.55000000016</v>
      </c>
      <c r="I44" s="215">
        <v>-482659.37999999989</v>
      </c>
      <c r="J44" s="116">
        <f t="shared" ref="J44:O44" si="3">-(SUM(J14:J43,J45:J50))</f>
        <v>-1029942.3200000002</v>
      </c>
      <c r="K44" s="116">
        <f t="shared" si="3"/>
        <v>-915016.71999999986</v>
      </c>
      <c r="L44" s="116">
        <f t="shared" si="3"/>
        <v>-914981.66000000015</v>
      </c>
      <c r="M44" s="116">
        <f t="shared" si="3"/>
        <v>-873623.95509999979</v>
      </c>
      <c r="N44" s="116">
        <f t="shared" si="3"/>
        <v>-946536.62390000012</v>
      </c>
      <c r="O44" s="116">
        <f t="shared" si="3"/>
        <v>-904541.72340000002</v>
      </c>
      <c r="P44" s="5">
        <f t="shared" si="2"/>
        <v>-9483114.9124000017</v>
      </c>
      <c r="Q44" s="196"/>
      <c r="R44" s="5"/>
    </row>
    <row r="45" spans="1:18">
      <c r="A45" s="8">
        <f t="shared" si="1"/>
        <v>30</v>
      </c>
      <c r="B45" s="212">
        <v>9230</v>
      </c>
      <c r="C45" s="5" t="s">
        <v>326</v>
      </c>
      <c r="D45" s="215">
        <v>6769.3</v>
      </c>
      <c r="E45" s="215">
        <v>4064.37</v>
      </c>
      <c r="F45" s="215">
        <v>5669.0599999999995</v>
      </c>
      <c r="G45" s="215">
        <v>7466.16</v>
      </c>
      <c r="H45" s="215">
        <v>8921.7900000000009</v>
      </c>
      <c r="I45" s="215">
        <v>12968.37</v>
      </c>
      <c r="J45" s="116">
        <v>34605.267415932161</v>
      </c>
      <c r="K45" s="116">
        <v>35126.999518958641</v>
      </c>
      <c r="L45" s="116">
        <v>36456.412197759702</v>
      </c>
      <c r="M45" s="116">
        <v>36672.732737047118</v>
      </c>
      <c r="N45" s="116">
        <v>37524.826604102083</v>
      </c>
      <c r="O45" s="116">
        <v>38262.650646830371</v>
      </c>
      <c r="P45" s="5">
        <f t="shared" si="2"/>
        <v>264507.93912063009</v>
      </c>
      <c r="Q45" s="5"/>
      <c r="R45" s="5"/>
    </row>
    <row r="46" spans="1:18">
      <c r="A46" s="8">
        <f t="shared" si="1"/>
        <v>31</v>
      </c>
      <c r="B46" s="212">
        <v>9240</v>
      </c>
      <c r="C46" s="5" t="s">
        <v>327</v>
      </c>
      <c r="D46" s="215">
        <v>-1252.8800000000001</v>
      </c>
      <c r="E46" s="215">
        <v>-958.93999999999994</v>
      </c>
      <c r="F46" s="215">
        <v>-970.97</v>
      </c>
      <c r="G46" s="215">
        <v>-1169.99</v>
      </c>
      <c r="H46" s="215">
        <v>-1134.3499999999999</v>
      </c>
      <c r="I46" s="215">
        <v>-1172.28</v>
      </c>
      <c r="J46" s="116">
        <v>-16584.03179757113</v>
      </c>
      <c r="K46" s="116">
        <v>-16374.171145973101</v>
      </c>
      <c r="L46" s="116">
        <v>-16514.841932087937</v>
      </c>
      <c r="M46" s="116">
        <v>-15235.058526163692</v>
      </c>
      <c r="N46" s="116">
        <v>-15471.953628513438</v>
      </c>
      <c r="O46" s="116">
        <v>-15767.957953693192</v>
      </c>
      <c r="P46" s="5">
        <f t="shared" si="2"/>
        <v>-102607.42498400249</v>
      </c>
      <c r="Q46" s="5"/>
      <c r="R46" s="5"/>
    </row>
    <row r="47" spans="1:18">
      <c r="A47" s="8">
        <f t="shared" si="1"/>
        <v>32</v>
      </c>
      <c r="B47" s="212">
        <v>9250</v>
      </c>
      <c r="C47" s="5" t="s">
        <v>328</v>
      </c>
      <c r="D47" s="215">
        <v>21554.92</v>
      </c>
      <c r="E47" s="215">
        <v>27630.63</v>
      </c>
      <c r="F47" s="215">
        <v>21837.949999999997</v>
      </c>
      <c r="G47" s="215">
        <v>21426.63</v>
      </c>
      <c r="H47" s="215">
        <v>21366.97</v>
      </c>
      <c r="I47" s="215">
        <v>5987.1699999999983</v>
      </c>
      <c r="J47" s="116">
        <v>58529.840846592459</v>
      </c>
      <c r="K47" s="116">
        <v>59766.208232222314</v>
      </c>
      <c r="L47" s="116">
        <v>58373.698811667135</v>
      </c>
      <c r="M47" s="116">
        <v>50209.154273451823</v>
      </c>
      <c r="N47" s="116">
        <v>50712.129979235004</v>
      </c>
      <c r="O47" s="116">
        <v>50738.335097487332</v>
      </c>
      <c r="P47" s="5">
        <f t="shared" si="2"/>
        <v>448133.63724065607</v>
      </c>
      <c r="Q47" s="5"/>
      <c r="R47" s="5"/>
    </row>
    <row r="48" spans="1:18">
      <c r="A48" s="8">
        <f t="shared" si="1"/>
        <v>33</v>
      </c>
      <c r="B48" s="263">
        <v>9260</v>
      </c>
      <c r="C48" s="5" t="s">
        <v>329</v>
      </c>
      <c r="D48" s="215">
        <v>190049.16000000003</v>
      </c>
      <c r="E48" s="215">
        <v>168788.92</v>
      </c>
      <c r="F48" s="215">
        <v>389170.68000000028</v>
      </c>
      <c r="G48" s="215">
        <v>194652.47</v>
      </c>
      <c r="H48" s="215">
        <v>237294.73000000004</v>
      </c>
      <c r="I48" s="215">
        <v>21492.699999999946</v>
      </c>
      <c r="J48" s="116">
        <v>285829.07863994618</v>
      </c>
      <c r="K48" s="116">
        <v>114741.74414167361</v>
      </c>
      <c r="L48" s="116">
        <v>110594.62454687276</v>
      </c>
      <c r="M48" s="116">
        <v>145657.33497298477</v>
      </c>
      <c r="N48" s="116">
        <v>160395.38571089462</v>
      </c>
      <c r="O48" s="116">
        <v>168295.710101456</v>
      </c>
      <c r="P48" s="5">
        <f t="shared" si="2"/>
        <v>2186962.5381138283</v>
      </c>
      <c r="Q48" s="5"/>
      <c r="R48" s="5"/>
    </row>
    <row r="49" spans="1:18">
      <c r="A49" s="8">
        <f t="shared" si="1"/>
        <v>34</v>
      </c>
      <c r="B49" s="212">
        <v>9302</v>
      </c>
      <c r="C49" s="5" t="s">
        <v>332</v>
      </c>
      <c r="D49" s="215">
        <v>0</v>
      </c>
      <c r="E49" s="215">
        <v>0</v>
      </c>
      <c r="F49" s="215">
        <v>0</v>
      </c>
      <c r="G49" s="215">
        <v>0</v>
      </c>
      <c r="H49" s="215">
        <v>7500</v>
      </c>
      <c r="I49" s="215">
        <v>0</v>
      </c>
      <c r="J49" s="116">
        <v>19726.232812612481</v>
      </c>
      <c r="K49" s="116">
        <v>20726.88071413145</v>
      </c>
      <c r="L49" s="116">
        <v>12852.717586926787</v>
      </c>
      <c r="M49" s="116">
        <v>5657.3245986610036</v>
      </c>
      <c r="N49" s="116">
        <v>5801.3027139874739</v>
      </c>
      <c r="O49" s="116">
        <v>7342.588438557339</v>
      </c>
      <c r="P49" s="5">
        <f t="shared" si="2"/>
        <v>79607.046864876538</v>
      </c>
      <c r="Q49" s="5"/>
      <c r="R49" s="5"/>
    </row>
    <row r="50" spans="1:18">
      <c r="A50" s="8">
        <f t="shared" si="1"/>
        <v>35</v>
      </c>
      <c r="B50" s="212">
        <v>9310</v>
      </c>
      <c r="C50" s="5" t="s">
        <v>209</v>
      </c>
      <c r="D50" s="215">
        <f>0</f>
        <v>0</v>
      </c>
      <c r="E50" s="215">
        <f>0</f>
        <v>0</v>
      </c>
      <c r="F50" s="215">
        <f>0</f>
        <v>0</v>
      </c>
      <c r="G50" s="215">
        <f>0</f>
        <v>0</v>
      </c>
      <c r="H50" s="215">
        <f>0</f>
        <v>0</v>
      </c>
      <c r="I50" s="215">
        <f>0</f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5">
        <f t="shared" si="2"/>
        <v>0</v>
      </c>
      <c r="Q50" s="5"/>
      <c r="R50" s="5"/>
    </row>
    <row r="51" spans="1:18">
      <c r="A51" s="8">
        <f t="shared" si="1"/>
        <v>36</v>
      </c>
      <c r="B51" s="5"/>
      <c r="C51" s="246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5"/>
      <c r="P51" s="5"/>
      <c r="Q51" s="5"/>
      <c r="R51" s="5"/>
    </row>
    <row r="52" spans="1:18" ht="15.75" thickBot="1">
      <c r="A52" s="8">
        <f t="shared" si="1"/>
        <v>37</v>
      </c>
      <c r="B52" s="5" t="s">
        <v>334</v>
      </c>
      <c r="C52" s="246"/>
      <c r="D52" s="247">
        <f t="shared" ref="D52:O52" si="4">SUM(D14:D51)</f>
        <v>-1.9999999785795808E-2</v>
      </c>
      <c r="E52" s="247">
        <f t="shared" si="4"/>
        <v>3.0000000348081812E-2</v>
      </c>
      <c r="F52" s="247">
        <f t="shared" si="4"/>
        <v>-1.1641532182693481E-10</v>
      </c>
      <c r="G52" s="247">
        <f t="shared" si="4"/>
        <v>240932.18000000005</v>
      </c>
      <c r="H52" s="247">
        <f t="shared" si="4"/>
        <v>-240932.21000000014</v>
      </c>
      <c r="I52" s="247">
        <f t="shared" si="4"/>
        <v>1.0000000052968971E-2</v>
      </c>
      <c r="J52" s="247">
        <f t="shared" si="4"/>
        <v>4.7293724492192268E-11</v>
      </c>
      <c r="K52" s="247">
        <f t="shared" si="4"/>
        <v>-1.0913936421275139E-11</v>
      </c>
      <c r="L52" s="247">
        <f t="shared" si="4"/>
        <v>-1.1095835361629725E-10</v>
      </c>
      <c r="M52" s="247">
        <f t="shared" si="4"/>
        <v>4.9112713895738125E-11</v>
      </c>
      <c r="N52" s="247">
        <f t="shared" si="4"/>
        <v>2.0190782379359007E-10</v>
      </c>
      <c r="O52" s="247">
        <f t="shared" si="4"/>
        <v>8.1854523159563541E-11</v>
      </c>
      <c r="P52" s="247">
        <f>SUM(P12:P51)</f>
        <v>16339855.589999992</v>
      </c>
      <c r="Q52" s="5"/>
      <c r="R52" s="5"/>
    </row>
    <row r="53" spans="1:18" ht="15.75" thickTop="1">
      <c r="A53" s="8">
        <f t="shared" si="1"/>
        <v>38</v>
      </c>
      <c r="B53" s="5"/>
      <c r="C53" s="24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8">
        <f t="shared" si="1"/>
        <v>39</v>
      </c>
      <c r="B54" s="212">
        <f>B44</f>
        <v>9220</v>
      </c>
      <c r="C54" s="39" t="str">
        <f>C44</f>
        <v>A&amp;G-Administrative expense transferred-Credit</v>
      </c>
      <c r="D54" s="248">
        <f t="shared" ref="D54:K54" si="5">-(D52-D44)</f>
        <v>-831246.33000000019</v>
      </c>
      <c r="E54" s="248">
        <f t="shared" si="5"/>
        <v>-694191.94000000006</v>
      </c>
      <c r="F54" s="248">
        <f t="shared" si="5"/>
        <v>-477225.28000000032</v>
      </c>
      <c r="G54" s="248">
        <f t="shared" si="5"/>
        <v>-949561.61999999988</v>
      </c>
      <c r="H54" s="248">
        <f t="shared" si="5"/>
        <v>-463587.34</v>
      </c>
      <c r="I54" s="248">
        <f t="shared" si="5"/>
        <v>-482659.38999999996</v>
      </c>
      <c r="J54" s="248">
        <f t="shared" si="5"/>
        <v>-1029942.3200000002</v>
      </c>
      <c r="K54" s="248">
        <f t="shared" si="5"/>
        <v>-915016.71999999986</v>
      </c>
      <c r="L54" s="39">
        <f>L44</f>
        <v>-914981.66000000015</v>
      </c>
      <c r="M54" s="39">
        <f>M44</f>
        <v>-873623.95509999979</v>
      </c>
      <c r="N54" s="39">
        <f>N44</f>
        <v>-946536.62390000012</v>
      </c>
      <c r="O54" s="39">
        <f>O44</f>
        <v>-904541.72340000002</v>
      </c>
      <c r="P54" s="5">
        <f t="shared" ref="P54" si="6">SUM(D54:O54)</f>
        <v>-9483114.9024000019</v>
      </c>
      <c r="Q54" s="5"/>
      <c r="R54" s="5"/>
    </row>
    <row r="55" spans="1:18">
      <c r="A55" s="8">
        <f t="shared" si="1"/>
        <v>40</v>
      </c>
      <c r="B55" s="5"/>
      <c r="C55" s="249" t="s">
        <v>341</v>
      </c>
      <c r="D55" s="250">
        <f>D56/D54</f>
        <v>0.50250001103764252</v>
      </c>
      <c r="E55" s="250">
        <f t="shared" ref="E55:I55" si="7">E56/E54</f>
        <v>0.50249998581084065</v>
      </c>
      <c r="F55" s="250">
        <f t="shared" si="7"/>
        <v>0.50249999329457118</v>
      </c>
      <c r="G55" s="250">
        <f t="shared" si="7"/>
        <v>0.37500070822154763</v>
      </c>
      <c r="H55" s="250">
        <f t="shared" si="7"/>
        <v>0.76365560370997188</v>
      </c>
      <c r="I55" s="250">
        <f t="shared" si="7"/>
        <v>0.50249999280030588</v>
      </c>
      <c r="J55" s="250">
        <v>0.5025136071712456</v>
      </c>
      <c r="K55" s="250">
        <v>0.5025136071712456</v>
      </c>
      <c r="L55" s="250">
        <v>0.5025136071712456</v>
      </c>
      <c r="M55" s="250">
        <v>0.5025136071712456</v>
      </c>
      <c r="N55" s="250">
        <v>0.5025136071712456</v>
      </c>
      <c r="O55" s="250">
        <v>0.5025136071712456</v>
      </c>
      <c r="P55" s="250">
        <f t="shared" ref="P55" si="8">P56/P54</f>
        <v>0.50250801228757225</v>
      </c>
      <c r="Q55" s="5"/>
      <c r="R55" s="5"/>
    </row>
    <row r="56" spans="1:18">
      <c r="A56" s="8">
        <f t="shared" si="1"/>
        <v>41</v>
      </c>
      <c r="B56" s="5"/>
      <c r="C56" s="5" t="s">
        <v>342</v>
      </c>
      <c r="D56" s="5">
        <v>-417701.29</v>
      </c>
      <c r="E56" s="5">
        <v>-348831.44</v>
      </c>
      <c r="F56" s="5">
        <v>-239805.7</v>
      </c>
      <c r="G56" s="5">
        <v>-356086.28</v>
      </c>
      <c r="H56" s="5">
        <v>-354021.07</v>
      </c>
      <c r="I56" s="5">
        <v>-242536.34</v>
      </c>
      <c r="J56" s="5">
        <f t="shared" ref="J56:O56" si="9">J54*J55</f>
        <v>-517560.03040152142</v>
      </c>
      <c r="K56" s="5">
        <f t="shared" si="9"/>
        <v>-459808.35258920153</v>
      </c>
      <c r="L56" s="5">
        <f t="shared" si="9"/>
        <v>-459790.73446213431</v>
      </c>
      <c r="M56" s="5">
        <f t="shared" si="9"/>
        <v>-439007.92498851119</v>
      </c>
      <c r="N56" s="5">
        <f t="shared" si="9"/>
        <v>-475647.5331956817</v>
      </c>
      <c r="O56" s="5">
        <f t="shared" si="9"/>
        <v>-454544.5242626291</v>
      </c>
      <c r="P56" s="5">
        <f>SUM(D56:O56)</f>
        <v>-4765341.2198996795</v>
      </c>
      <c r="Q56" s="5"/>
      <c r="R56" s="5"/>
    </row>
    <row r="57" spans="1:18">
      <c r="A57" s="5"/>
      <c r="B57" s="5"/>
      <c r="C57" s="246"/>
      <c r="D57" s="264"/>
      <c r="E57" s="264"/>
      <c r="F57" s="264"/>
      <c r="G57" s="264"/>
      <c r="H57" s="264"/>
      <c r="I57" s="264"/>
      <c r="J57" s="190"/>
      <c r="K57" s="190"/>
      <c r="L57" s="190"/>
      <c r="M57" s="190"/>
      <c r="N57" s="190"/>
      <c r="O57" s="190"/>
      <c r="P57" s="190"/>
      <c r="Q57" s="5"/>
      <c r="R57" s="5"/>
    </row>
    <row r="58" spans="1:18">
      <c r="A58" s="5"/>
      <c r="B58" s="5"/>
      <c r="C58" s="246"/>
      <c r="D58" s="5"/>
      <c r="E58" s="5"/>
      <c r="F58" s="5"/>
      <c r="G58" s="5"/>
      <c r="H58" s="5"/>
      <c r="I58" s="5"/>
      <c r="J58" s="5"/>
      <c r="K58" s="5"/>
      <c r="L58" s="5"/>
      <c r="M58" s="5"/>
      <c r="N58" s="190"/>
      <c r="O58" s="190"/>
      <c r="P58" s="5"/>
      <c r="Q58" s="5"/>
      <c r="R58" s="5"/>
    </row>
    <row r="59" spans="1:18">
      <c r="A59" s="5"/>
      <c r="B59" s="5" t="s">
        <v>343</v>
      </c>
      <c r="C59" s="246"/>
      <c r="D59" s="5"/>
      <c r="E59" s="5"/>
      <c r="F59" s="5"/>
      <c r="G59" s="5"/>
      <c r="H59" s="5"/>
      <c r="I59" s="5"/>
      <c r="J59" s="5"/>
      <c r="K59" s="5"/>
      <c r="L59" s="5"/>
      <c r="M59" s="5"/>
      <c r="N59" s="190"/>
      <c r="O59" s="190"/>
      <c r="P59" s="5"/>
      <c r="Q59" s="5"/>
      <c r="R59" s="5"/>
    </row>
    <row r="60" spans="1:18">
      <c r="A60" s="5"/>
      <c r="B60" s="5"/>
      <c r="C60" s="246"/>
      <c r="D60" s="5"/>
      <c r="E60" s="5"/>
      <c r="F60" s="5"/>
      <c r="G60" s="5"/>
      <c r="H60" s="5"/>
      <c r="I60" s="5"/>
      <c r="J60" s="5"/>
      <c r="K60" s="5"/>
      <c r="L60" s="5"/>
      <c r="M60" s="5"/>
      <c r="N60" s="190"/>
      <c r="O60" s="190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50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13"/>
      <c r="Q63" s="251"/>
      <c r="R63" s="5"/>
    </row>
    <row r="64" spans="1:18">
      <c r="A64" s="5"/>
      <c r="B64" s="5"/>
      <c r="C64" s="5"/>
      <c r="D64" s="5"/>
      <c r="E64" s="25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9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95"/>
      <c r="P66" s="5"/>
      <c r="Q66" s="5"/>
      <c r="R66" s="5"/>
    </row>
    <row r="67" spans="1:18">
      <c r="A67" s="5"/>
      <c r="B67" s="5"/>
      <c r="C67" s="19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95"/>
      <c r="P67" s="5"/>
      <c r="Q67" s="196"/>
      <c r="R67" s="5"/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9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9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9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4" spans="1:18">
      <c r="C74" s="19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5" footer="0.25"/>
  <pageSetup scale="50" fitToHeight="2" orientation="landscape" verticalDpi="300" r:id="rId1"/>
  <headerFooter alignWithMargins="0">
    <oddHeader>&amp;RCASE NO. 2017-00349
FR 16(8)(c)
ATTACHMENT 1</oddHeader>
    <oddFooter>&amp;RSchedule &amp;A
Page &amp;P of &amp;N</oddFooter>
  </headerFooter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C'!Print_Area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2017-09-21T19:41:49Z</cp:lastPrinted>
  <dcterms:created xsi:type="dcterms:W3CDTF">2017-09-19T21:31:18Z</dcterms:created>
  <dcterms:modified xsi:type="dcterms:W3CDTF">2017-09-21T19:41:52Z</dcterms:modified>
</cp:coreProperties>
</file>