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1616" activeTab="1"/>
  </bookViews>
  <sheets>
    <sheet name="JDB FIT Rev WP" sheetId="1" r:id="rId1"/>
    <sheet name="JDB Rev Alloc WP" sheetId="2" r:id="rId2"/>
  </sheets>
  <externalReferences>
    <externalReference r:id="rId3"/>
    <externalReference r:id="rId4"/>
    <externalReference r:id="rId5"/>
    <externalReference r:id="rId6"/>
  </externalReferences>
  <definedNames>
    <definedName name="__123Graph_ECURRENT" localSheetId="0" hidden="1">[1]coss!#REF!</definedName>
    <definedName name="__123Graph_ECURRENT" hidden="1">[1]coss!#REF!</definedName>
    <definedName name="_Fill" localSheetId="0" hidden="1">#REF!</definedName>
    <definedName name="_Fill" hidden="1">#REF!</definedName>
    <definedName name="_Key1" localSheetId="0" hidden="1">'[2]FR-16(7)(v)-4 PROD Energy'!#REF!</definedName>
    <definedName name="_Key1" hidden="1">'[2]FR-16(7)(v)-4 PROD Energy'!#REF!</definedName>
    <definedName name="_Key2" localSheetId="0" hidden="1">[3]MACROS!#REF!</definedName>
    <definedName name="_Key2" hidden="1">[3]MACROS!#REF!</definedName>
    <definedName name="_Order1" hidden="1">255</definedName>
    <definedName name="_Order2" hidden="1">255</definedName>
    <definedName name="_Regression_Out" hidden="1">#N/A</definedName>
    <definedName name="_Sort" localSheetId="0" hidden="1">'[2]FR-16(7)(v)-4 PROD Energy'!#REF!</definedName>
    <definedName name="_Sort" hidden="1">'[2]FR-16(7)(v)-4 PROD Energy'!#REF!</definedName>
    <definedName name="alloc_factors">'[2]Print &amp; Input'!$A$9</definedName>
    <definedName name="ALLOCATOR">'[2]Print &amp; Input'!$A$11</definedName>
    <definedName name="Alloctable_Classified_Distribution">'[2]FR-16(7)(v)-10 DIST Classified'!$E$814:$I$955</definedName>
    <definedName name="AllocTable_Classified_Production">'[2]FR-16(7)(v)-2 PROD Classified'!$E$814:$I$953</definedName>
    <definedName name="AllocTable_Classified_Transmission">'[2]FR-16(7)(v)-6 TRANS Classified'!$E$814:$I$953</definedName>
    <definedName name="ALLOCTABLE_Distr_Customer">'[2]FR-16(7)(v)-13 DIST Cust'!$E$814:$S$955</definedName>
    <definedName name="ALLOCTABLE_Distr_Demand">'[2]FR-16(7)(v)-11 DIST Demand'!$E$814:$S$955</definedName>
    <definedName name="ALLOCTABLE_Distr_Energy">'[2]FR-16(7)(v)-12 DIST Energy'!$E$814:$S$955</definedName>
    <definedName name="ALLOCTABLE_FUNCTIONAL" localSheetId="0">'JDB FIT Rev WP'!$E$813:$I$956</definedName>
    <definedName name="ALLOCTABLE_FUNCTIONAL">'[2]JDB-WP FR-16(7)(v)-1'!$E$813:$I$956</definedName>
    <definedName name="ALLOCTABLE_Prod_Customer">'[2]FR-16(7)(v)-5 PROD Cust'!$E$814:$S$953</definedName>
    <definedName name="ALLOCTABLE_Prod_Demand">'[2]FR-16(7)(v)-3 PROD Demand'!$E$814:$S$953</definedName>
    <definedName name="ALLOCTABLE_Prod_Energy">'[2]FR-16(7)(v)-4 PROD Energy'!$E$814:$S$953</definedName>
    <definedName name="ALLOCTABLE_Trans_Customer">'[2]FR-16(7)(v)-9 TRANS Cust'!$E$814:$T$953</definedName>
    <definedName name="ALLOCTABLE_Trans_Demand">'[2]FR-16(7)(v)-7 TRANS Demand'!$E$814:$S$953</definedName>
    <definedName name="ALLOCTABLE_Trans_Energy">'[2]FR-16(7)(v)-8 TRANS Energy'!$E$814:$S$953</definedName>
    <definedName name="case_name">'[2]Print &amp; Input'!$A$3</definedName>
    <definedName name="co_name">'[2]Print &amp; Input'!$A$1</definedName>
    <definedName name="CoinPeakTable">'[2]WP FR-16(7)(v) Load Res RS'!$A$15:$I$37</definedName>
    <definedName name="CompositeTaxRate" localSheetId="0">'JDB FIT Rev WP'!$F$713</definedName>
    <definedName name="CompositeTaxRate">'[2]JDB-WP FR-16(7)(v)-1'!$F$713</definedName>
    <definedName name="coss_type">'[2]Print &amp; Input'!$A$2</definedName>
    <definedName name="data_filing">'[2]Print &amp; Input'!$A$5</definedName>
    <definedName name="Equity" localSheetId="0">'JDB FIT Rev WP'!$F$777</definedName>
    <definedName name="Equity">'[2]JDB-WP FR-16(7)(v)-1'!$F$777</definedName>
    <definedName name="EquityRatio" localSheetId="0">'JDB FIT Rev WP'!$G$777</definedName>
    <definedName name="FIT" localSheetId="0">'JDB FIT Rev WP'!$F$799</definedName>
    <definedName name="FIT">'[2]JDB-WP FR-16(7)(v)-1'!$F$799</definedName>
    <definedName name="FR16_7_v_1" localSheetId="0">'JDB FIT Rev WP'!$A$1:$K$953</definedName>
    <definedName name="FR16_7_v_1_Alloc_12" localSheetId="0">'JDB FIT Rev WP'!$A$803:$K$852</definedName>
    <definedName name="FR16_7_v_1_Alloc_12.1" localSheetId="0">'JDB FIT Rev WP'!$A$854:$K$903</definedName>
    <definedName name="FR16_7_v_1_Alloc_12.2" localSheetId="0">'JDB FIT Rev WP'!$A$905:$K$956</definedName>
    <definedName name="FR16_7_v_1_COS_Compute_10" localSheetId="0">'JDB FIT Rev WP'!$A$715:$K$761</definedName>
    <definedName name="FR16_7_v_1_Depreciation_Expense_7" localSheetId="0">'JDB FIT Rev WP'!$A$535:$K$566</definedName>
    <definedName name="FR16_7_v_1_Depreciation_Reserve_3" localSheetId="0">'JDB FIT Rev WP'!$A$109:$K$184</definedName>
    <definedName name="FR16_7_v_1_FIT_Return_9" localSheetId="0">'JDB FIT Rev WP'!$A$604:$K$665</definedName>
    <definedName name="FR16_7_v_1_FIT_Revenue_13" localSheetId="0">'JDB FIT Rev WP'!#REF!</definedName>
    <definedName name="FR16_7_v_1_FIT_Revenue_13">'[2]JDB-WP FR-16(7)(v)-1'!#REF!</definedName>
    <definedName name="FR16_7_v_1_Gross_Plant_2" localSheetId="0">'JDB FIT Rev WP'!$A$32:$K$107</definedName>
    <definedName name="FR16_7_v_1_Net_Plant_4" localSheetId="0">'JDB FIT Rev WP'!$A$186:$K$261</definedName>
    <definedName name="FR16_7_v_1_OMEXP_6" localSheetId="0">'JDB FIT Rev WP'!$A$419:$K$487</definedName>
    <definedName name="FR16_7_v_1_OMEXP_6.1" localSheetId="0">'JDB FIT Rev WP'!$A$489:$K$533</definedName>
    <definedName name="FR16_7_v_1_RB_Additive_Adj_5.1" localSheetId="0">'JDB FIT Rev WP'!$A$310:$K$361</definedName>
    <definedName name="FR16_7_v_1_RB_Subtractive_Adj_5" localSheetId="0">'JDB FIT Rev WP'!$A$263:$K$308</definedName>
    <definedName name="FR16_7_v_1_RB_Total_5.2" localSheetId="0">'JDB FIT Rev WP'!$A$363:$K$416</definedName>
    <definedName name="FR16_7_v_1_RofR_11" localSheetId="0">'JDB FIT Rev WP'!$A$763:$K$801</definedName>
    <definedName name="FR16_7_v_1_SIT_Return_9.1" localSheetId="0">'JDB FIT Rev WP'!$A$667:$K$713</definedName>
    <definedName name="FR16_7_v_1_Summary_1" localSheetId="0">'JDB FIT Rev WP'!$A$1:$K$30</definedName>
    <definedName name="FR16_7_v_1_Taxes_Other_Than_Income_8" localSheetId="0">'JDB FIT Rev WP'!$A$568:$K$602</definedName>
    <definedName name="FR16_7_v_10_FIT_Revenues_13" localSheetId="0">'[2]FR-16(7)(v)-10 DIST Classified'!#REF!</definedName>
    <definedName name="FR16_7_v_10_FIT_Revenues_13">'[2]FR-16(7)(v)-10 DIST Classified'!#REF!</definedName>
    <definedName name="FR16_7_v_11_FIT_Revenue_13" localSheetId="0">'[2]FR-16(7)(v)-11 DIST Demand'!#REF!</definedName>
    <definedName name="FR16_7_v_11_FIT_Revenue_13">'[2]FR-16(7)(v)-11 DIST Demand'!#REF!</definedName>
    <definedName name="FR16_7_v_12_FIT_Revenue_13" localSheetId="0">'[2]FR-16(7)(v)-12 DIST Energy'!#REF!</definedName>
    <definedName name="FR16_7_v_12_FIT_Revenue_13">'[2]FR-16(7)(v)-12 DIST Energy'!#REF!</definedName>
    <definedName name="FR16_7_v_13_FIT_Revenue_13" localSheetId="0">'[2]FR-16(7)(v)-13 DIST Cust'!#REF!</definedName>
    <definedName name="FR16_7_v_13_FIT_Revenue_13">'[2]FR-16(7)(v)-13 DIST Cust'!#REF!</definedName>
    <definedName name="FR16_7_v_2_FIT_Revenue_13" localSheetId="0">'[2]FR-16(7)(v)-2 PROD Classified'!#REF!</definedName>
    <definedName name="FR16_7_v_2_FIT_Revenue_13">'[2]FR-16(7)(v)-2 PROD Classified'!#REF!</definedName>
    <definedName name="FR16_7_v_3_FIT_Revenue_13" localSheetId="0">'[2]FR-16(7)(v)-3 PROD Demand'!#REF!</definedName>
    <definedName name="FR16_7_v_3_FIT_Revenue_13">'[2]FR-16(7)(v)-3 PROD Demand'!#REF!</definedName>
    <definedName name="FR16_7_v_4_FIT_Revenue_13" localSheetId="0">'[2]FR-16(7)(v)-4 PROD Energy'!#REF!</definedName>
    <definedName name="FR16_7_v_4_FIT_Revenue_13">'[2]FR-16(7)(v)-4 PROD Energy'!#REF!</definedName>
    <definedName name="FR16_7_v_5_FIT_Revenue_13" localSheetId="0">'[2]FR-16(7)(v)-5 PROD Cust'!#REF!</definedName>
    <definedName name="FR16_7_v_5_FIT_Revenue_13">'[2]FR-16(7)(v)-5 PROD Cust'!#REF!</definedName>
    <definedName name="FR16_7_v_6_FIT_Return_13" localSheetId="0">'[2]FR-16(7)(v)-6 TRANS Classified'!#REF!</definedName>
    <definedName name="FR16_7_v_6_FIT_Return_13">'[2]FR-16(7)(v)-6 TRANS Classified'!#REF!</definedName>
    <definedName name="FR16_7_v_7_FIT_Revenue_13" localSheetId="0">'[2]FR-16(7)(v)-7 TRANS Demand'!#REF!</definedName>
    <definedName name="FR16_7_v_7_FIT_Revenue_13">'[2]FR-16(7)(v)-7 TRANS Demand'!#REF!</definedName>
    <definedName name="FR16_7_v_8_FIT_Revenue_13" localSheetId="0">'[2]FR-16(7)(v)-8 TRANS Energy'!#REF!</definedName>
    <definedName name="FR16_7_v_8_FIT_Revenue_13">'[2]FR-16(7)(v)-8 TRANS Energy'!#REF!</definedName>
    <definedName name="FR16_7_v_9_FIT_Revenue_13" localSheetId="0">'[2]FR-16(7)(v)-9 TRANS Cust'!#REF!</definedName>
    <definedName name="FR16_7_v_9_FIT_Revenue_13">'[2]FR-16(7)(v)-9 TRANS Cust'!#REF!</definedName>
    <definedName name="NPdemand">'[2]WP FR-16(7)(v) A&amp;G WP'!$D$36</definedName>
    <definedName name="OHPRIM">'[2]WP FR-16(7)(v) Conduct&amp;dev'!$D$14</definedName>
    <definedName name="OHSEC">'[2]WP FR-16(7)(v) Conduct&amp;dev'!$D$13</definedName>
    <definedName name="Pages">'[2]Print &amp; Input'!$D$2</definedName>
    <definedName name="Pages2">'[2]Print &amp; Input'!$D$3</definedName>
    <definedName name="PrimaryCM">'[2]WP FR-16(7)(v) Conduct&amp;dev'!$H$14</definedName>
    <definedName name="_xlnm.Print_Area" localSheetId="0">'JDB FIT Rev WP'!$A$32:$K$107</definedName>
    <definedName name="RevTax" localSheetId="0">'JDB FIT Rev WP'!$F$801</definedName>
    <definedName name="RevTax">'[2]JDB-WP FR-16(7)(v)-1'!$F$801</definedName>
    <definedName name="RofR" localSheetId="0">'JDB FIT Rev WP'!$F$795</definedName>
    <definedName name="RofR">'[2]JDB-WP FR-16(7)(v)-1'!$F$795</definedName>
    <definedName name="Secondarycm">'[2]WP FR-16(7)(v) Conduct&amp;dev'!$H$13</definedName>
    <definedName name="SIT" localSheetId="0">'JDB FIT Rev WP'!$F$800</definedName>
    <definedName name="SIT">'[2]JDB-WP FR-16(7)(v)-1'!$F$800</definedName>
    <definedName name="solver_adj" localSheetId="0" hidden="1">'JDB FIT Rev WP'!$F$629</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'JDB FIT Rev WP'!$F$660</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11876343</definedName>
    <definedName name="test_period">'[2]Print &amp; Input'!$A$4</definedName>
    <definedName name="time_period">'[2]Print &amp; Input'!$A$10</definedName>
    <definedName name="TotalCap" localSheetId="0">'JDB FIT Rev WP'!$F$780</definedName>
    <definedName name="TotalCap">'[2]JDB-WP FR-16(7)(v)-1'!$F$780</definedName>
    <definedName name="type">'[2]Print &amp; Input'!$A$8</definedName>
    <definedName name="UGPRIM">'[2]WP FR-16(7)(v) Conduct&amp;dev'!$F$14</definedName>
    <definedName name="UGSEC">'[2]WP FR-16(7)(v) Conduct&amp;dev'!$F$13</definedName>
    <definedName name="Witness">'[2]Print &amp; Input'!$A$6</definedName>
    <definedName name="Witness1">'[2]Print &amp; Input'!$A$7</definedName>
    <definedName name="WorkingCap">'[2]Print &amp; Input'!$D$1</definedName>
    <definedName name="wrn.Allocation._.Factors." hidden="1">{#N/A,#N/A,FALSE,"Alloc Factors";#N/A,#N/A,FALSE,"AverageExcess";#N/A,#N/A,FALSE,"Monthly Data";#N/A,#N/A,FALSE,"HighPressure";#N/A,#N/A,FALSE,"IndustrialM&amp;R";#N/A,#N/A,FALSE,"Mains";#N/A,#N/A,FALSE,"Services"}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2" l="1"/>
  <c r="O16" i="2"/>
  <c r="O17" i="2"/>
  <c r="O18" i="2"/>
  <c r="O19" i="2"/>
  <c r="O20" i="2"/>
  <c r="O21" i="2"/>
  <c r="O22" i="2"/>
  <c r="O23" i="2"/>
  <c r="O24" i="2"/>
  <c r="O25" i="2"/>
  <c r="O15" i="2"/>
  <c r="S18" i="2"/>
  <c r="S21" i="2"/>
  <c r="S22" i="2"/>
  <c r="S24" i="2"/>
  <c r="S25" i="2"/>
  <c r="S15" i="2"/>
  <c r="R29" i="2"/>
  <c r="Q16" i="2"/>
  <c r="Q17" i="2"/>
  <c r="Q18" i="2"/>
  <c r="Q19" i="2"/>
  <c r="Q20" i="2"/>
  <c r="Q21" i="2"/>
  <c r="Q22" i="2"/>
  <c r="Q23" i="2"/>
  <c r="Q24" i="2"/>
  <c r="Q25" i="2"/>
  <c r="Q27" i="2"/>
  <c r="Q15" i="2"/>
  <c r="P16" i="2"/>
  <c r="P17" i="2"/>
  <c r="P18" i="2"/>
  <c r="P19" i="2"/>
  <c r="P20" i="2"/>
  <c r="P21" i="2"/>
  <c r="P22" i="2"/>
  <c r="P23" i="2"/>
  <c r="P24" i="2"/>
  <c r="P25" i="2"/>
  <c r="P27" i="2"/>
  <c r="P15" i="2"/>
  <c r="A1" i="1"/>
  <c r="A3" i="1"/>
  <c r="J3" i="1"/>
  <c r="A4" i="1"/>
  <c r="J4" i="1"/>
  <c r="A5" i="1"/>
  <c r="M16" i="1"/>
  <c r="M17" i="1"/>
  <c r="F24" i="1"/>
  <c r="M24" i="1"/>
  <c r="M27" i="1"/>
  <c r="M31" i="1"/>
  <c r="A32" i="1"/>
  <c r="J32" i="1"/>
  <c r="M32" i="1"/>
  <c r="A33" i="1"/>
  <c r="J33" i="1"/>
  <c r="M33" i="1"/>
  <c r="A34" i="1"/>
  <c r="J34" i="1"/>
  <c r="M34" i="1"/>
  <c r="A35" i="1"/>
  <c r="J35" i="1"/>
  <c r="M35" i="1"/>
  <c r="A36" i="1"/>
  <c r="M36" i="1"/>
  <c r="M37" i="1"/>
  <c r="M38" i="1"/>
  <c r="M39" i="1"/>
  <c r="F40" i="1"/>
  <c r="M40" i="1"/>
  <c r="G40" i="1"/>
  <c r="H40" i="1"/>
  <c r="I40" i="1"/>
  <c r="G41" i="1"/>
  <c r="H41" i="1"/>
  <c r="I41" i="1"/>
  <c r="M41" i="1"/>
  <c r="M42" i="1"/>
  <c r="F43" i="1"/>
  <c r="F44" i="1"/>
  <c r="M45" i="1"/>
  <c r="M47" i="1"/>
  <c r="M48" i="1"/>
  <c r="M49" i="1"/>
  <c r="F50" i="1"/>
  <c r="M51" i="1"/>
  <c r="M53" i="1"/>
  <c r="M55" i="1"/>
  <c r="M56" i="1"/>
  <c r="F57" i="1"/>
  <c r="M57" i="1"/>
  <c r="F58" i="1"/>
  <c r="M58" i="1"/>
  <c r="F59" i="1"/>
  <c r="M59" i="1"/>
  <c r="F60" i="1"/>
  <c r="M60" i="1"/>
  <c r="F61" i="1"/>
  <c r="M61" i="1"/>
  <c r="F62" i="1"/>
  <c r="M62" i="1"/>
  <c r="F63" i="1"/>
  <c r="F64" i="1"/>
  <c r="F65" i="1"/>
  <c r="M65" i="1"/>
  <c r="F66" i="1"/>
  <c r="M66" i="1"/>
  <c r="F67" i="1"/>
  <c r="M67" i="1"/>
  <c r="F68" i="1"/>
  <c r="M68" i="1"/>
  <c r="F69" i="1"/>
  <c r="M69" i="1"/>
  <c r="F70" i="1"/>
  <c r="F71" i="1"/>
  <c r="F72" i="1"/>
  <c r="F73" i="1"/>
  <c r="F74" i="1"/>
  <c r="M74" i="1"/>
  <c r="M75" i="1"/>
  <c r="F76" i="1"/>
  <c r="M76" i="1"/>
  <c r="M77" i="1"/>
  <c r="M79" i="1"/>
  <c r="M82" i="1"/>
  <c r="M83" i="1"/>
  <c r="F84" i="1"/>
  <c r="F85" i="1"/>
  <c r="M85" i="1"/>
  <c r="F86" i="1"/>
  <c r="F87" i="1"/>
  <c r="M87" i="1"/>
  <c r="F89" i="1"/>
  <c r="M89" i="1"/>
  <c r="F90" i="1"/>
  <c r="M90" i="1"/>
  <c r="F91" i="1"/>
  <c r="M92" i="1"/>
  <c r="M94" i="1"/>
  <c r="M95" i="1"/>
  <c r="F96" i="1"/>
  <c r="F97" i="1"/>
  <c r="F98" i="1"/>
  <c r="M98" i="1"/>
  <c r="F99" i="1"/>
  <c r="F100" i="1"/>
  <c r="M100" i="1"/>
  <c r="F101" i="1"/>
  <c r="M101" i="1"/>
  <c r="F102" i="1"/>
  <c r="F103" i="1"/>
  <c r="M103" i="1"/>
  <c r="M104" i="1"/>
  <c r="M106" i="1"/>
  <c r="M108" i="1"/>
  <c r="A109" i="1"/>
  <c r="J109" i="1"/>
  <c r="M109" i="1"/>
  <c r="A110" i="1"/>
  <c r="J110" i="1"/>
  <c r="M110" i="1"/>
  <c r="A111" i="1"/>
  <c r="J111" i="1"/>
  <c r="M111" i="1"/>
  <c r="A112" i="1"/>
  <c r="J112" i="1"/>
  <c r="M112" i="1"/>
  <c r="A113" i="1"/>
  <c r="M113" i="1"/>
  <c r="M114" i="1"/>
  <c r="M115" i="1"/>
  <c r="M116" i="1"/>
  <c r="F117" i="1"/>
  <c r="M117" i="1"/>
  <c r="G117" i="1"/>
  <c r="H117" i="1"/>
  <c r="I117" i="1"/>
  <c r="G118" i="1"/>
  <c r="H118" i="1"/>
  <c r="I118" i="1"/>
  <c r="M118" i="1"/>
  <c r="M119" i="1"/>
  <c r="F120" i="1"/>
  <c r="M120" i="1"/>
  <c r="F121" i="1"/>
  <c r="F122" i="1"/>
  <c r="M124" i="1"/>
  <c r="M125" i="1"/>
  <c r="M126" i="1"/>
  <c r="F127" i="1"/>
  <c r="F128" i="1"/>
  <c r="M128" i="1"/>
  <c r="M130" i="1"/>
  <c r="M132" i="1"/>
  <c r="M133" i="1"/>
  <c r="F134" i="1"/>
  <c r="M134" i="1"/>
  <c r="F135" i="1"/>
  <c r="F136" i="1"/>
  <c r="F137" i="1"/>
  <c r="M137" i="1"/>
  <c r="F138" i="1"/>
  <c r="F215" i="1"/>
  <c r="M215" i="1"/>
  <c r="F139" i="1"/>
  <c r="F140" i="1"/>
  <c r="M140" i="1"/>
  <c r="F141" i="1"/>
  <c r="M141" i="1"/>
  <c r="F142" i="1"/>
  <c r="M142" i="1"/>
  <c r="F143" i="1"/>
  <c r="F220" i="1"/>
  <c r="M220" i="1"/>
  <c r="F144" i="1"/>
  <c r="M144" i="1"/>
  <c r="F145" i="1"/>
  <c r="M145" i="1"/>
  <c r="F146" i="1"/>
  <c r="F223" i="1"/>
  <c r="M223" i="1"/>
  <c r="F147" i="1"/>
  <c r="F148" i="1"/>
  <c r="F149" i="1"/>
  <c r="F150" i="1"/>
  <c r="M150" i="1"/>
  <c r="F151" i="1"/>
  <c r="F152" i="1"/>
  <c r="F153" i="1"/>
  <c r="M153" i="1"/>
  <c r="F154" i="1"/>
  <c r="M154" i="1"/>
  <c r="M156" i="1"/>
  <c r="M159" i="1"/>
  <c r="M160" i="1"/>
  <c r="F161" i="1"/>
  <c r="F162" i="1"/>
  <c r="F163" i="1"/>
  <c r="F164" i="1"/>
  <c r="M164" i="1"/>
  <c r="F166" i="1"/>
  <c r="F167" i="1"/>
  <c r="M167" i="1"/>
  <c r="F168" i="1"/>
  <c r="M168" i="1"/>
  <c r="F169" i="1"/>
  <c r="M169" i="1"/>
  <c r="M171" i="1"/>
  <c r="M172" i="1"/>
  <c r="F173" i="1"/>
  <c r="M173" i="1"/>
  <c r="F174" i="1"/>
  <c r="M174" i="1"/>
  <c r="F175" i="1"/>
  <c r="M175" i="1"/>
  <c r="F176" i="1"/>
  <c r="F177" i="1"/>
  <c r="F178" i="1"/>
  <c r="F179" i="1"/>
  <c r="M179" i="1"/>
  <c r="F180" i="1"/>
  <c r="M180" i="1"/>
  <c r="F181" i="1"/>
  <c r="M181" i="1"/>
  <c r="M183" i="1"/>
  <c r="M185" i="1"/>
  <c r="A186" i="1"/>
  <c r="J186" i="1"/>
  <c r="M186" i="1"/>
  <c r="A187" i="1"/>
  <c r="J187" i="1"/>
  <c r="M187" i="1"/>
  <c r="A188" i="1"/>
  <c r="J188" i="1"/>
  <c r="M188" i="1"/>
  <c r="A189" i="1"/>
  <c r="J189" i="1"/>
  <c r="M189" i="1"/>
  <c r="A190" i="1"/>
  <c r="M190" i="1"/>
  <c r="M191" i="1"/>
  <c r="M192" i="1"/>
  <c r="M193" i="1"/>
  <c r="B194" i="1"/>
  <c r="F194" i="1"/>
  <c r="M194" i="1"/>
  <c r="G194" i="1"/>
  <c r="H194" i="1"/>
  <c r="I194" i="1"/>
  <c r="G195" i="1"/>
  <c r="H195" i="1"/>
  <c r="I195" i="1"/>
  <c r="M195" i="1"/>
  <c r="M196" i="1"/>
  <c r="M201" i="1"/>
  <c r="M202" i="1"/>
  <c r="F203" i="1"/>
  <c r="M207" i="1"/>
  <c r="M209" i="1"/>
  <c r="M210" i="1"/>
  <c r="F212" i="1"/>
  <c r="M212" i="1"/>
  <c r="C231" i="1"/>
  <c r="M233" i="1"/>
  <c r="M236" i="1"/>
  <c r="M237" i="1"/>
  <c r="M248" i="1"/>
  <c r="M249" i="1"/>
  <c r="M260" i="1"/>
  <c r="C261" i="1"/>
  <c r="M262" i="1"/>
  <c r="A263" i="1"/>
  <c r="J263" i="1"/>
  <c r="M263" i="1"/>
  <c r="A264" i="1"/>
  <c r="J264" i="1"/>
  <c r="M264" i="1"/>
  <c r="A265" i="1"/>
  <c r="J265" i="1"/>
  <c r="M265" i="1"/>
  <c r="A266" i="1"/>
  <c r="J266" i="1"/>
  <c r="M266" i="1"/>
  <c r="A267" i="1"/>
  <c r="M267" i="1"/>
  <c r="M268" i="1"/>
  <c r="M269" i="1"/>
  <c r="M270" i="1"/>
  <c r="F271" i="1"/>
  <c r="M271" i="1"/>
  <c r="G271" i="1"/>
  <c r="H271" i="1"/>
  <c r="I271" i="1"/>
  <c r="G272" i="1"/>
  <c r="H272" i="1"/>
  <c r="I272" i="1"/>
  <c r="M272" i="1"/>
  <c r="M273" i="1"/>
  <c r="M274" i="1"/>
  <c r="M275" i="1"/>
  <c r="F276" i="1"/>
  <c r="M276" i="1"/>
  <c r="M277" i="1"/>
  <c r="M278" i="1"/>
  <c r="F279" i="1"/>
  <c r="M280" i="1"/>
  <c r="M281" i="1"/>
  <c r="M282" i="1"/>
  <c r="M283" i="1"/>
  <c r="M284" i="1"/>
  <c r="M286" i="1"/>
  <c r="M287" i="1"/>
  <c r="M288" i="1"/>
  <c r="M289" i="1"/>
  <c r="M290" i="1"/>
  <c r="F291" i="1"/>
  <c r="M292" i="1"/>
  <c r="M293" i="1"/>
  <c r="M294" i="1"/>
  <c r="M295" i="1"/>
  <c r="M296" i="1"/>
  <c r="F297" i="1"/>
  <c r="M297" i="1"/>
  <c r="M298" i="1"/>
  <c r="M300" i="1"/>
  <c r="M301" i="1"/>
  <c r="M302" i="1"/>
  <c r="M303" i="1"/>
  <c r="M304" i="1"/>
  <c r="M305" i="1"/>
  <c r="F306" i="1"/>
  <c r="M306" i="1"/>
  <c r="M307" i="1"/>
  <c r="M309" i="1"/>
  <c r="A310" i="1"/>
  <c r="J310" i="1"/>
  <c r="M310" i="1"/>
  <c r="A311" i="1"/>
  <c r="J311" i="1"/>
  <c r="M311" i="1"/>
  <c r="A312" i="1"/>
  <c r="J312" i="1"/>
  <c r="M312" i="1"/>
  <c r="A313" i="1"/>
  <c r="J313" i="1"/>
  <c r="M313" i="1"/>
  <c r="A314" i="1"/>
  <c r="M314" i="1"/>
  <c r="M315" i="1"/>
  <c r="M316" i="1"/>
  <c r="M317" i="1"/>
  <c r="F318" i="1"/>
  <c r="M318" i="1"/>
  <c r="G318" i="1"/>
  <c r="H318" i="1"/>
  <c r="I318" i="1"/>
  <c r="G319" i="1"/>
  <c r="H319" i="1"/>
  <c r="I319" i="1"/>
  <c r="M319" i="1"/>
  <c r="M320" i="1"/>
  <c r="M321" i="1"/>
  <c r="M322" i="1"/>
  <c r="M323" i="1"/>
  <c r="M324" i="1"/>
  <c r="M325" i="1"/>
  <c r="M326" i="1"/>
  <c r="M327" i="1"/>
  <c r="M328" i="1"/>
  <c r="F329" i="1"/>
  <c r="M329" i="1"/>
  <c r="M330" i="1"/>
  <c r="M331" i="1"/>
  <c r="M332" i="1"/>
  <c r="M333" i="1"/>
  <c r="M334" i="1"/>
  <c r="M335" i="1"/>
  <c r="M336" i="1"/>
  <c r="M337" i="1"/>
  <c r="M338" i="1"/>
  <c r="M339" i="1"/>
  <c r="F340" i="1"/>
  <c r="M340" i="1"/>
  <c r="M341" i="1"/>
  <c r="M342" i="1"/>
  <c r="M343" i="1"/>
  <c r="M344" i="1"/>
  <c r="M346" i="1"/>
  <c r="M347" i="1"/>
  <c r="M348" i="1"/>
  <c r="M349" i="1"/>
  <c r="M350" i="1"/>
  <c r="F351" i="1"/>
  <c r="M351" i="1"/>
  <c r="M352" i="1"/>
  <c r="M353" i="1"/>
  <c r="M354" i="1"/>
  <c r="M355" i="1"/>
  <c r="M356" i="1"/>
  <c r="M357" i="1"/>
  <c r="M358" i="1"/>
  <c r="F359" i="1"/>
  <c r="M359" i="1"/>
  <c r="M360" i="1"/>
  <c r="M362" i="1"/>
  <c r="A363" i="1"/>
  <c r="J363" i="1"/>
  <c r="M363" i="1"/>
  <c r="A364" i="1"/>
  <c r="J364" i="1"/>
  <c r="M364" i="1"/>
  <c r="A365" i="1"/>
  <c r="J365" i="1"/>
  <c r="M365" i="1"/>
  <c r="A366" i="1"/>
  <c r="J366" i="1"/>
  <c r="M366" i="1"/>
  <c r="A367" i="1"/>
  <c r="M367" i="1"/>
  <c r="M368" i="1"/>
  <c r="M369" i="1"/>
  <c r="M370" i="1"/>
  <c r="F371" i="1"/>
  <c r="M371" i="1"/>
  <c r="G371" i="1"/>
  <c r="H371" i="1"/>
  <c r="I371" i="1"/>
  <c r="G372" i="1"/>
  <c r="H372" i="1"/>
  <c r="I372" i="1"/>
  <c r="M372" i="1"/>
  <c r="M373" i="1"/>
  <c r="M375" i="1"/>
  <c r="M376" i="1"/>
  <c r="M377" i="1"/>
  <c r="M378" i="1"/>
  <c r="F379" i="1"/>
  <c r="F380" i="1"/>
  <c r="F381" i="1"/>
  <c r="M381" i="1"/>
  <c r="M384" i="1"/>
  <c r="M385" i="1"/>
  <c r="F386" i="1"/>
  <c r="M386" i="1"/>
  <c r="M387" i="1"/>
  <c r="F388" i="1"/>
  <c r="M388" i="1"/>
  <c r="M390" i="1"/>
  <c r="F391" i="1"/>
  <c r="F392" i="1"/>
  <c r="M392" i="1"/>
  <c r="H391" i="1"/>
  <c r="I391" i="1"/>
  <c r="I392" i="1"/>
  <c r="M393" i="1"/>
  <c r="M394" i="1"/>
  <c r="M395" i="1"/>
  <c r="M396" i="1"/>
  <c r="M397" i="1"/>
  <c r="F398" i="1"/>
  <c r="M398" i="1"/>
  <c r="M399" i="1"/>
  <c r="M401" i="1"/>
  <c r="M406" i="1"/>
  <c r="M407" i="1"/>
  <c r="M411" i="1"/>
  <c r="M414" i="1"/>
  <c r="F415" i="1"/>
  <c r="M415" i="1"/>
  <c r="M418" i="1"/>
  <c r="A419" i="1"/>
  <c r="J419" i="1"/>
  <c r="M419" i="1"/>
  <c r="A420" i="1"/>
  <c r="J420" i="1"/>
  <c r="M420" i="1"/>
  <c r="A421" i="1"/>
  <c r="J421" i="1"/>
  <c r="M421" i="1"/>
  <c r="A422" i="1"/>
  <c r="J422" i="1"/>
  <c r="M422" i="1"/>
  <c r="A423" i="1"/>
  <c r="M423" i="1"/>
  <c r="M424" i="1"/>
  <c r="M425" i="1"/>
  <c r="M426" i="1"/>
  <c r="F427" i="1"/>
  <c r="M427" i="1"/>
  <c r="G427" i="1"/>
  <c r="H427" i="1"/>
  <c r="I427" i="1"/>
  <c r="G428" i="1"/>
  <c r="H428" i="1"/>
  <c r="I428" i="1"/>
  <c r="M428" i="1"/>
  <c r="M429" i="1"/>
  <c r="M430" i="1"/>
  <c r="M431" i="1"/>
  <c r="F432" i="1"/>
  <c r="M432" i="1"/>
  <c r="M433" i="1"/>
  <c r="M434" i="1"/>
  <c r="F435" i="1"/>
  <c r="M436" i="1"/>
  <c r="M438" i="1"/>
  <c r="M439" i="1"/>
  <c r="M440" i="1"/>
  <c r="F441" i="1"/>
  <c r="M441" i="1"/>
  <c r="M442" i="1"/>
  <c r="M444" i="1"/>
  <c r="M445" i="1"/>
  <c r="M446" i="1"/>
  <c r="F447" i="1"/>
  <c r="M448" i="1"/>
  <c r="M449" i="1"/>
  <c r="M451" i="1"/>
  <c r="M452" i="1"/>
  <c r="F453" i="1"/>
  <c r="M455" i="1"/>
  <c r="M456" i="1"/>
  <c r="F457" i="1"/>
  <c r="M458" i="1"/>
  <c r="F459" i="1"/>
  <c r="F460" i="1"/>
  <c r="F461" i="1"/>
  <c r="M461" i="1"/>
  <c r="F462" i="1"/>
  <c r="M462" i="1"/>
  <c r="F463" i="1"/>
  <c r="F464" i="1"/>
  <c r="F465" i="1"/>
  <c r="M465" i="1"/>
  <c r="F466" i="1"/>
  <c r="M466" i="1"/>
  <c r="F467" i="1"/>
  <c r="F468" i="1"/>
  <c r="M469" i="1"/>
  <c r="F470" i="1"/>
  <c r="F471" i="1"/>
  <c r="F472" i="1"/>
  <c r="F473" i="1"/>
  <c r="M473" i="1"/>
  <c r="F474" i="1"/>
  <c r="F475" i="1"/>
  <c r="M477" i="1"/>
  <c r="M478" i="1"/>
  <c r="F479" i="1"/>
  <c r="F480" i="1"/>
  <c r="M480" i="1"/>
  <c r="F481" i="1"/>
  <c r="M481" i="1"/>
  <c r="F482" i="1"/>
  <c r="M482" i="1"/>
  <c r="F483" i="1"/>
  <c r="M483" i="1"/>
  <c r="F484" i="1"/>
  <c r="M484" i="1"/>
  <c r="F485" i="1"/>
  <c r="F486" i="1"/>
  <c r="M488" i="1"/>
  <c r="A489" i="1"/>
  <c r="J489" i="1"/>
  <c r="M489" i="1"/>
  <c r="A490" i="1"/>
  <c r="J490" i="1"/>
  <c r="M490" i="1"/>
  <c r="A491" i="1"/>
  <c r="J491" i="1"/>
  <c r="M491" i="1"/>
  <c r="A492" i="1"/>
  <c r="J492" i="1"/>
  <c r="M492" i="1"/>
  <c r="A493" i="1"/>
  <c r="M493" i="1"/>
  <c r="M494" i="1"/>
  <c r="M495" i="1"/>
  <c r="M496" i="1"/>
  <c r="F497" i="1"/>
  <c r="M497" i="1"/>
  <c r="G497" i="1"/>
  <c r="H497" i="1"/>
  <c r="I497" i="1"/>
  <c r="G498" i="1"/>
  <c r="H498" i="1"/>
  <c r="I498" i="1"/>
  <c r="M498" i="1"/>
  <c r="M499" i="1"/>
  <c r="F500" i="1"/>
  <c r="F502" i="1"/>
  <c r="M502" i="1"/>
  <c r="M501" i="1"/>
  <c r="M503" i="1"/>
  <c r="M504" i="1"/>
  <c r="F505" i="1"/>
  <c r="M507" i="1"/>
  <c r="M508" i="1"/>
  <c r="F509" i="1"/>
  <c r="F510" i="1"/>
  <c r="F511" i="1"/>
  <c r="M511" i="1"/>
  <c r="F512" i="1"/>
  <c r="M512" i="1"/>
  <c r="F513" i="1"/>
  <c r="M513" i="1"/>
  <c r="F514" i="1"/>
  <c r="M514" i="1"/>
  <c r="F515" i="1"/>
  <c r="M515" i="1"/>
  <c r="F517" i="1"/>
  <c r="M518" i="1"/>
  <c r="M519" i="1"/>
  <c r="M520" i="1"/>
  <c r="F521" i="1"/>
  <c r="M521" i="1"/>
  <c r="M522" i="1"/>
  <c r="M523" i="1"/>
  <c r="M524" i="1"/>
  <c r="M525" i="1"/>
  <c r="M526" i="1"/>
  <c r="M527" i="1"/>
  <c r="M528" i="1"/>
  <c r="F529" i="1"/>
  <c r="M529" i="1"/>
  <c r="F530" i="1"/>
  <c r="M532" i="1"/>
  <c r="M534" i="1"/>
  <c r="A535" i="1"/>
  <c r="J535" i="1"/>
  <c r="M535" i="1"/>
  <c r="A536" i="1"/>
  <c r="J536" i="1"/>
  <c r="M536" i="1"/>
  <c r="A537" i="1"/>
  <c r="J537" i="1"/>
  <c r="M537" i="1"/>
  <c r="A538" i="1"/>
  <c r="J538" i="1"/>
  <c r="M538" i="1"/>
  <c r="A539" i="1"/>
  <c r="M539" i="1"/>
  <c r="M540" i="1"/>
  <c r="M541" i="1"/>
  <c r="M542" i="1"/>
  <c r="F543" i="1"/>
  <c r="M543" i="1"/>
  <c r="G543" i="1"/>
  <c r="H543" i="1"/>
  <c r="I543" i="1"/>
  <c r="G544" i="1"/>
  <c r="H544" i="1"/>
  <c r="I544" i="1"/>
  <c r="M544" i="1"/>
  <c r="M545" i="1"/>
  <c r="F546" i="1"/>
  <c r="M546" i="1"/>
  <c r="M548" i="1"/>
  <c r="M549" i="1"/>
  <c r="F550" i="1"/>
  <c r="M550" i="1"/>
  <c r="M552" i="1"/>
  <c r="M553" i="1"/>
  <c r="F554" i="1"/>
  <c r="M554" i="1"/>
  <c r="M556" i="1"/>
  <c r="M557" i="1"/>
  <c r="F558" i="1"/>
  <c r="M558" i="1"/>
  <c r="M560" i="1"/>
  <c r="M561" i="1"/>
  <c r="F562" i="1"/>
  <c r="M564" i="1"/>
  <c r="M565" i="1"/>
  <c r="M567" i="1"/>
  <c r="A568" i="1"/>
  <c r="J568" i="1"/>
  <c r="M568" i="1"/>
  <c r="A569" i="1"/>
  <c r="J569" i="1"/>
  <c r="M569" i="1"/>
  <c r="A570" i="1"/>
  <c r="J570" i="1"/>
  <c r="M570" i="1"/>
  <c r="A571" i="1"/>
  <c r="J571" i="1"/>
  <c r="M571" i="1"/>
  <c r="A572" i="1"/>
  <c r="M572" i="1"/>
  <c r="M573" i="1"/>
  <c r="M574" i="1"/>
  <c r="M575" i="1"/>
  <c r="F576" i="1"/>
  <c r="M576" i="1"/>
  <c r="G576" i="1"/>
  <c r="H576" i="1"/>
  <c r="I576" i="1"/>
  <c r="G577" i="1"/>
  <c r="H577" i="1"/>
  <c r="I577" i="1"/>
  <c r="M577" i="1"/>
  <c r="M578" i="1"/>
  <c r="M579" i="1"/>
  <c r="F580" i="1"/>
  <c r="M580" i="1"/>
  <c r="M581" i="1"/>
  <c r="M583" i="1"/>
  <c r="M584" i="1"/>
  <c r="F585" i="1"/>
  <c r="F586" i="1"/>
  <c r="F587" i="1"/>
  <c r="F588" i="1"/>
  <c r="M588" i="1"/>
  <c r="M590" i="1"/>
  <c r="M591" i="1"/>
  <c r="F592" i="1"/>
  <c r="M592" i="1"/>
  <c r="D593" i="1"/>
  <c r="M593" i="1"/>
  <c r="M595" i="1"/>
  <c r="M597" i="1"/>
  <c r="M598" i="1"/>
  <c r="M603" i="1"/>
  <c r="A604" i="1"/>
  <c r="J604" i="1"/>
  <c r="M604" i="1"/>
  <c r="A605" i="1"/>
  <c r="J605" i="1"/>
  <c r="M605" i="1"/>
  <c r="A606" i="1"/>
  <c r="J606" i="1"/>
  <c r="M606" i="1"/>
  <c r="A607" i="1"/>
  <c r="J607" i="1"/>
  <c r="M607" i="1"/>
  <c r="A608" i="1"/>
  <c r="M608" i="1"/>
  <c r="M609" i="1"/>
  <c r="M610" i="1"/>
  <c r="M611" i="1"/>
  <c r="F612" i="1"/>
  <c r="M612" i="1"/>
  <c r="G612" i="1"/>
  <c r="H612" i="1"/>
  <c r="I612" i="1"/>
  <c r="G613" i="1"/>
  <c r="H613" i="1"/>
  <c r="I613" i="1"/>
  <c r="M613" i="1"/>
  <c r="M614" i="1"/>
  <c r="M615" i="1"/>
  <c r="F616" i="1"/>
  <c r="M616" i="1"/>
  <c r="M618" i="1"/>
  <c r="M619" i="1"/>
  <c r="F620" i="1"/>
  <c r="M620" i="1"/>
  <c r="F621" i="1"/>
  <c r="M621" i="1"/>
  <c r="F622" i="1"/>
  <c r="M622" i="1"/>
  <c r="M624" i="1"/>
  <c r="M626" i="1"/>
  <c r="M627" i="1"/>
  <c r="F628" i="1"/>
  <c r="M628" i="1"/>
  <c r="M629" i="1"/>
  <c r="M630" i="1"/>
  <c r="F631" i="1"/>
  <c r="M632" i="1"/>
  <c r="M634" i="1"/>
  <c r="M635" i="1"/>
  <c r="F636" i="1"/>
  <c r="M636" i="1"/>
  <c r="M638" i="1"/>
  <c r="M639" i="1"/>
  <c r="M640" i="1"/>
  <c r="M641" i="1"/>
  <c r="F642" i="1"/>
  <c r="M642" i="1"/>
  <c r="M643" i="1"/>
  <c r="M644" i="1"/>
  <c r="M648" i="1"/>
  <c r="M649" i="1"/>
  <c r="M654" i="1"/>
  <c r="M656" i="1"/>
  <c r="F657" i="1"/>
  <c r="M661" i="1"/>
  <c r="M662" i="1"/>
  <c r="M663" i="1"/>
  <c r="M666" i="1"/>
  <c r="A667" i="1"/>
  <c r="J667" i="1"/>
  <c r="M667" i="1"/>
  <c r="A668" i="1"/>
  <c r="J668" i="1"/>
  <c r="M668" i="1"/>
  <c r="A669" i="1"/>
  <c r="J669" i="1"/>
  <c r="M669" i="1"/>
  <c r="A670" i="1"/>
  <c r="J670" i="1"/>
  <c r="M670" i="1"/>
  <c r="A671" i="1"/>
  <c r="M671" i="1"/>
  <c r="M672" i="1"/>
  <c r="M673" i="1"/>
  <c r="M674" i="1"/>
  <c r="F675" i="1"/>
  <c r="M675" i="1"/>
  <c r="G676" i="1"/>
  <c r="H676" i="1"/>
  <c r="I676" i="1"/>
  <c r="M676" i="1"/>
  <c r="M677" i="1"/>
  <c r="F678" i="1"/>
  <c r="M678" i="1"/>
  <c r="M679" i="1"/>
  <c r="M681" i="1"/>
  <c r="M682" i="1"/>
  <c r="M683" i="1"/>
  <c r="F684" i="1"/>
  <c r="F685" i="1"/>
  <c r="M685" i="1"/>
  <c r="M686" i="1"/>
  <c r="M687" i="1"/>
  <c r="F688" i="1"/>
  <c r="F689" i="1"/>
  <c r="M690" i="1"/>
  <c r="M692" i="1"/>
  <c r="M693" i="1"/>
  <c r="M694" i="1"/>
  <c r="F699" i="1"/>
  <c r="M699" i="1"/>
  <c r="M702" i="1"/>
  <c r="M707" i="1"/>
  <c r="M708" i="1"/>
  <c r="M712" i="1"/>
  <c r="M714" i="1"/>
  <c r="A715" i="1"/>
  <c r="J715" i="1"/>
  <c r="M715" i="1"/>
  <c r="A716" i="1"/>
  <c r="J716" i="1"/>
  <c r="M716" i="1"/>
  <c r="A717" i="1"/>
  <c r="J717" i="1"/>
  <c r="M717" i="1"/>
  <c r="A718" i="1"/>
  <c r="J718" i="1"/>
  <c r="M718" i="1"/>
  <c r="A719" i="1"/>
  <c r="M719" i="1"/>
  <c r="M720" i="1"/>
  <c r="M721" i="1"/>
  <c r="M722" i="1"/>
  <c r="F723" i="1"/>
  <c r="M723" i="1"/>
  <c r="G723" i="1"/>
  <c r="H723" i="1"/>
  <c r="I723" i="1"/>
  <c r="G724" i="1"/>
  <c r="H724" i="1"/>
  <c r="I724" i="1"/>
  <c r="M724" i="1"/>
  <c r="M725" i="1"/>
  <c r="M726" i="1"/>
  <c r="D727" i="1"/>
  <c r="M727" i="1"/>
  <c r="F728" i="1"/>
  <c r="M728" i="1"/>
  <c r="M729" i="1"/>
  <c r="M730" i="1"/>
  <c r="M731" i="1"/>
  <c r="M732" i="1"/>
  <c r="D733" i="1"/>
  <c r="M733" i="1"/>
  <c r="M735" i="1"/>
  <c r="M736" i="1"/>
  <c r="M743" i="1"/>
  <c r="F745" i="1"/>
  <c r="M745" i="1"/>
  <c r="M747" i="1"/>
  <c r="F748" i="1"/>
  <c r="M752" i="1"/>
  <c r="F753" i="1"/>
  <c r="M753" i="1"/>
  <c r="M755" i="1"/>
  <c r="M762" i="1"/>
  <c r="A763" i="1"/>
  <c r="J763" i="1"/>
  <c r="M763" i="1"/>
  <c r="A764" i="1"/>
  <c r="J764" i="1"/>
  <c r="M764" i="1"/>
  <c r="A765" i="1"/>
  <c r="J765" i="1"/>
  <c r="M765" i="1"/>
  <c r="A766" i="1"/>
  <c r="J766" i="1"/>
  <c r="M766" i="1"/>
  <c r="A767" i="1"/>
  <c r="M767" i="1"/>
  <c r="M768" i="1"/>
  <c r="M769" i="1"/>
  <c r="M770" i="1"/>
  <c r="F771" i="1"/>
  <c r="M771" i="1"/>
  <c r="G771" i="1"/>
  <c r="H771" i="1"/>
  <c r="I771" i="1"/>
  <c r="G772" i="1"/>
  <c r="H772" i="1"/>
  <c r="I772" i="1"/>
  <c r="M772" i="1"/>
  <c r="M773" i="1"/>
  <c r="M774" i="1"/>
  <c r="F775" i="1"/>
  <c r="M775" i="1"/>
  <c r="M776" i="1"/>
  <c r="F777" i="1"/>
  <c r="M777" i="1"/>
  <c r="F778" i="1"/>
  <c r="M778" i="1"/>
  <c r="M779" i="1"/>
  <c r="M781" i="1"/>
  <c r="M782" i="1"/>
  <c r="F783" i="1"/>
  <c r="M783" i="1"/>
  <c r="M784" i="1"/>
  <c r="F785" i="1"/>
  <c r="M785" i="1"/>
  <c r="F786" i="1"/>
  <c r="M786" i="1"/>
  <c r="M787" i="1"/>
  <c r="M788" i="1"/>
  <c r="M789" i="1"/>
  <c r="M796" i="1"/>
  <c r="M797" i="1"/>
  <c r="G798" i="1"/>
  <c r="H798" i="1"/>
  <c r="I798" i="1"/>
  <c r="J798" i="1"/>
  <c r="K798" i="1"/>
  <c r="M798" i="1"/>
  <c r="G799" i="1"/>
  <c r="G657" i="1"/>
  <c r="H799" i="1"/>
  <c r="H657" i="1"/>
  <c r="I799" i="1"/>
  <c r="I657" i="1"/>
  <c r="J799" i="1"/>
  <c r="K799" i="1"/>
  <c r="K657" i="1"/>
  <c r="M799" i="1"/>
  <c r="F800" i="1"/>
  <c r="J713" i="1"/>
  <c r="J759" i="1"/>
  <c r="G801" i="1"/>
  <c r="G748" i="1"/>
  <c r="H801" i="1"/>
  <c r="H748" i="1"/>
  <c r="I801" i="1"/>
  <c r="I748" i="1"/>
  <c r="J801" i="1"/>
  <c r="J748" i="1"/>
  <c r="K801" i="1"/>
  <c r="K748" i="1"/>
  <c r="M801" i="1"/>
  <c r="A803" i="1"/>
  <c r="J803" i="1"/>
  <c r="A804" i="1"/>
  <c r="J804" i="1"/>
  <c r="A805" i="1"/>
  <c r="J805" i="1"/>
  <c r="A806" i="1"/>
  <c r="J806" i="1"/>
  <c r="A807" i="1"/>
  <c r="F811" i="1"/>
  <c r="G811" i="1"/>
  <c r="H811" i="1"/>
  <c r="I811" i="1"/>
  <c r="G812" i="1"/>
  <c r="H812" i="1"/>
  <c r="I812" i="1"/>
  <c r="F814" i="1"/>
  <c r="G814" i="1"/>
  <c r="H815" i="1"/>
  <c r="F816" i="1"/>
  <c r="H816" i="1"/>
  <c r="J816" i="1"/>
  <c r="F818" i="1"/>
  <c r="I818" i="1"/>
  <c r="J818" i="1"/>
  <c r="F820" i="1"/>
  <c r="I820" i="1"/>
  <c r="J820" i="1"/>
  <c r="F822" i="1"/>
  <c r="I822" i="1"/>
  <c r="G823" i="1"/>
  <c r="F826" i="1"/>
  <c r="I826" i="1"/>
  <c r="H827" i="1"/>
  <c r="F828" i="1"/>
  <c r="I828" i="1"/>
  <c r="G829" i="1"/>
  <c r="F830" i="1"/>
  <c r="G830" i="1"/>
  <c r="J830" i="1"/>
  <c r="F832" i="1"/>
  <c r="I832" i="1"/>
  <c r="J832" i="1"/>
  <c r="F834" i="1"/>
  <c r="G834" i="1"/>
  <c r="G835" i="1"/>
  <c r="J836" i="1"/>
  <c r="K836" i="1"/>
  <c r="G837" i="1"/>
  <c r="H837" i="1"/>
  <c r="I837" i="1"/>
  <c r="J838" i="1"/>
  <c r="K838" i="1"/>
  <c r="G839" i="1"/>
  <c r="H839" i="1"/>
  <c r="I839" i="1"/>
  <c r="F840" i="1"/>
  <c r="I840" i="1"/>
  <c r="J840" i="1"/>
  <c r="F842" i="1"/>
  <c r="H842" i="1"/>
  <c r="F844" i="1"/>
  <c r="F846" i="1"/>
  <c r="H846" i="1"/>
  <c r="F848" i="1"/>
  <c r="G848" i="1"/>
  <c r="G849" i="1"/>
  <c r="F851" i="1"/>
  <c r="F865" i="1"/>
  <c r="F852" i="1"/>
  <c r="F756" i="1"/>
  <c r="M756" i="1"/>
  <c r="A854" i="1"/>
  <c r="J854" i="1"/>
  <c r="A855" i="1"/>
  <c r="J855" i="1"/>
  <c r="A856" i="1"/>
  <c r="J856" i="1"/>
  <c r="A857" i="1"/>
  <c r="J857" i="1"/>
  <c r="A858" i="1"/>
  <c r="F862" i="1"/>
  <c r="G862" i="1"/>
  <c r="H862" i="1"/>
  <c r="I862" i="1"/>
  <c r="G863" i="1"/>
  <c r="H863" i="1"/>
  <c r="I863" i="1"/>
  <c r="I897" i="1"/>
  <c r="A905" i="1"/>
  <c r="J905" i="1"/>
  <c r="A906" i="1"/>
  <c r="J906" i="1"/>
  <c r="A907" i="1"/>
  <c r="J907" i="1"/>
  <c r="A908" i="1"/>
  <c r="J908" i="1"/>
  <c r="A909" i="1"/>
  <c r="F913" i="1"/>
  <c r="G913" i="1"/>
  <c r="H913" i="1"/>
  <c r="I913" i="1"/>
  <c r="G914" i="1"/>
  <c r="H914" i="1"/>
  <c r="I914" i="1"/>
  <c r="G916" i="1"/>
  <c r="H916" i="1"/>
  <c r="G934" i="1"/>
  <c r="H934" i="1"/>
  <c r="I934" i="1"/>
  <c r="F967" i="1"/>
  <c r="F225" i="1"/>
  <c r="M225" i="1"/>
  <c r="F734" i="1"/>
  <c r="F29" i="1"/>
  <c r="F224" i="1"/>
  <c r="M224" i="1"/>
  <c r="F198" i="1"/>
  <c r="M198" i="1"/>
  <c r="M70" i="1"/>
  <c r="F217" i="1"/>
  <c r="M217" i="1"/>
  <c r="M44" i="1"/>
  <c r="I831" i="1"/>
  <c r="J837" i="1"/>
  <c r="K837" i="1"/>
  <c r="F211" i="1"/>
  <c r="M211" i="1"/>
  <c r="F226" i="1"/>
  <c r="M226" i="1"/>
  <c r="H817" i="1"/>
  <c r="H446" i="1"/>
  <c r="F129" i="1"/>
  <c r="F244" i="1"/>
  <c r="M244" i="1"/>
  <c r="F253" i="1"/>
  <c r="M253" i="1"/>
  <c r="H897" i="1"/>
  <c r="G897" i="1"/>
  <c r="F204" i="1"/>
  <c r="M204" i="1"/>
  <c r="F594" i="1"/>
  <c r="M594" i="1"/>
  <c r="F239" i="1"/>
  <c r="M239" i="1"/>
  <c r="F214" i="1"/>
  <c r="M214" i="1"/>
  <c r="F256" i="1"/>
  <c r="M256" i="1"/>
  <c r="F227" i="1"/>
  <c r="M227" i="1"/>
  <c r="F245" i="1"/>
  <c r="M245" i="1"/>
  <c r="H831" i="1"/>
  <c r="G817" i="1"/>
  <c r="I50" i="1"/>
  <c r="G831" i="1"/>
  <c r="I970" i="1"/>
  <c r="F680" i="1"/>
  <c r="I472" i="1"/>
  <c r="F218" i="1"/>
  <c r="M218" i="1"/>
  <c r="K820" i="1"/>
  <c r="G815" i="1"/>
  <c r="I173" i="1"/>
  <c r="M684" i="1"/>
  <c r="F230" i="1"/>
  <c r="M230" i="1"/>
  <c r="K800" i="1"/>
  <c r="I163" i="1"/>
  <c r="I121" i="1"/>
  <c r="F238" i="1"/>
  <c r="M238" i="1"/>
  <c r="H849" i="1"/>
  <c r="H431" i="1"/>
  <c r="K840" i="1"/>
  <c r="G827" i="1"/>
  <c r="F257" i="1"/>
  <c r="M257" i="1"/>
  <c r="F231" i="1"/>
  <c r="M231" i="1"/>
  <c r="F221" i="1"/>
  <c r="M221" i="1"/>
  <c r="F824" i="1"/>
  <c r="K832" i="1"/>
  <c r="F219" i="1"/>
  <c r="M219" i="1"/>
  <c r="I74" i="1"/>
  <c r="M500" i="1"/>
  <c r="M391" i="1"/>
  <c r="F389" i="1"/>
  <c r="F240" i="1"/>
  <c r="M240" i="1"/>
  <c r="M73" i="1"/>
  <c r="F123" i="1"/>
  <c r="M123" i="1"/>
  <c r="I916" i="1"/>
  <c r="J916" i="1"/>
  <c r="K916" i="1"/>
  <c r="F250" i="1"/>
  <c r="M250" i="1"/>
  <c r="M127" i="1"/>
  <c r="M688" i="1"/>
  <c r="F216" i="1"/>
  <c r="M216" i="1"/>
  <c r="F205" i="1"/>
  <c r="M205" i="1"/>
  <c r="F155" i="1"/>
  <c r="M155" i="1"/>
  <c r="M86" i="1"/>
  <c r="M689" i="1"/>
  <c r="F691" i="1"/>
  <c r="F653" i="1"/>
  <c r="J826" i="1"/>
  <c r="K826" i="1"/>
  <c r="K818" i="1"/>
  <c r="J814" i="1"/>
  <c r="K814" i="1"/>
  <c r="G703" i="1"/>
  <c r="I896" i="1"/>
  <c r="F246" i="1"/>
  <c r="M246" i="1"/>
  <c r="F222" i="1"/>
  <c r="M222" i="1"/>
  <c r="F197" i="1"/>
  <c r="M197" i="1"/>
  <c r="M163" i="1"/>
  <c r="M121" i="1"/>
  <c r="F78" i="1"/>
  <c r="M78" i="1"/>
  <c r="K830" i="1"/>
  <c r="H731" i="1"/>
  <c r="F255" i="1"/>
  <c r="M255" i="1"/>
  <c r="M149" i="1"/>
  <c r="M138" i="1"/>
  <c r="H829" i="1"/>
  <c r="H149" i="1"/>
  <c r="G800" i="1"/>
  <c r="F623" i="1"/>
  <c r="M623" i="1"/>
  <c r="F46" i="1"/>
  <c r="M46" i="1"/>
  <c r="H903" i="1"/>
  <c r="I819" i="1"/>
  <c r="M734" i="1"/>
  <c r="F617" i="1"/>
  <c r="M617" i="1"/>
  <c r="F582" i="1"/>
  <c r="M582" i="1"/>
  <c r="G903" i="1"/>
  <c r="I846" i="1"/>
  <c r="I847" i="1"/>
  <c r="I823" i="1"/>
  <c r="I461" i="1"/>
  <c r="H819" i="1"/>
  <c r="I713" i="1"/>
  <c r="I759" i="1"/>
  <c r="M472" i="1"/>
  <c r="F258" i="1"/>
  <c r="M258" i="1"/>
  <c r="F252" i="1"/>
  <c r="M252" i="1"/>
  <c r="M96" i="1"/>
  <c r="I835" i="1"/>
  <c r="I827" i="1"/>
  <c r="J822" i="1"/>
  <c r="K822" i="1"/>
  <c r="G819" i="1"/>
  <c r="I469" i="1"/>
  <c r="K816" i="1"/>
  <c r="F345" i="1"/>
  <c r="F241" i="1"/>
  <c r="M241" i="1"/>
  <c r="F199" i="1"/>
  <c r="M199" i="1"/>
  <c r="F165" i="1"/>
  <c r="F170" i="1"/>
  <c r="M170" i="1"/>
  <c r="M43" i="1"/>
  <c r="I842" i="1"/>
  <c r="J842" i="1"/>
  <c r="K842" i="1"/>
  <c r="J834" i="1"/>
  <c r="K834" i="1"/>
  <c r="M176" i="1"/>
  <c r="M99" i="1"/>
  <c r="F88" i="1"/>
  <c r="F93" i="1"/>
  <c r="I87" i="1"/>
  <c r="F182" i="1"/>
  <c r="M182" i="1"/>
  <c r="I168" i="1"/>
  <c r="I180" i="1"/>
  <c r="G631" i="1"/>
  <c r="H631" i="1"/>
  <c r="I631" i="1"/>
  <c r="F633" i="1"/>
  <c r="M631" i="1"/>
  <c r="J934" i="1"/>
  <c r="K934" i="1"/>
  <c r="I844" i="1"/>
  <c r="G731" i="1"/>
  <c r="J839" i="1"/>
  <c r="K839" i="1"/>
  <c r="M587" i="1"/>
  <c r="J848" i="1"/>
  <c r="K848" i="1"/>
  <c r="J828" i="1"/>
  <c r="K828" i="1"/>
  <c r="M800" i="1"/>
  <c r="F780" i="1"/>
  <c r="I731" i="1"/>
  <c r="I703" i="1"/>
  <c r="M657" i="1"/>
  <c r="M748" i="1"/>
  <c r="F973" i="1"/>
  <c r="F867" i="1"/>
  <c r="I841" i="1"/>
  <c r="I63" i="1"/>
  <c r="H835" i="1"/>
  <c r="I833" i="1"/>
  <c r="H823" i="1"/>
  <c r="I821" i="1"/>
  <c r="J800" i="1"/>
  <c r="F703" i="1"/>
  <c r="I145" i="1"/>
  <c r="I141" i="1"/>
  <c r="H841" i="1"/>
  <c r="H505" i="1"/>
  <c r="H506" i="1"/>
  <c r="H833" i="1"/>
  <c r="H821" i="1"/>
  <c r="I800" i="1"/>
  <c r="K713" i="1"/>
  <c r="K759" i="1"/>
  <c r="F563" i="1"/>
  <c r="M562" i="1"/>
  <c r="I849" i="1"/>
  <c r="G841" i="1"/>
  <c r="H74" i="1"/>
  <c r="H472" i="1"/>
  <c r="G833" i="1"/>
  <c r="H85" i="1"/>
  <c r="H162" i="1"/>
  <c r="H433" i="1"/>
  <c r="H395" i="1"/>
  <c r="H97" i="1"/>
  <c r="H640" i="1"/>
  <c r="H381" i="1"/>
  <c r="H436" i="1"/>
  <c r="H434" i="1"/>
  <c r="I829" i="1"/>
  <c r="I149" i="1"/>
  <c r="G821" i="1"/>
  <c r="H51" i="1"/>
  <c r="H163" i="1"/>
  <c r="H448" i="1"/>
  <c r="H45" i="1"/>
  <c r="H44" i="1"/>
  <c r="H99" i="1"/>
  <c r="H120" i="1"/>
  <c r="H96" i="1"/>
  <c r="H43" i="1"/>
  <c r="H440" i="1"/>
  <c r="H800" i="1"/>
  <c r="H168" i="1"/>
  <c r="H180" i="1"/>
  <c r="H57" i="1"/>
  <c r="H77" i="1"/>
  <c r="H703" i="1"/>
  <c r="J703" i="1"/>
  <c r="F713" i="1"/>
  <c r="K703" i="1"/>
  <c r="G713" i="1"/>
  <c r="G759" i="1"/>
  <c r="H713" i="1"/>
  <c r="H759" i="1"/>
  <c r="F551" i="1"/>
  <c r="M530" i="1"/>
  <c r="M475" i="1"/>
  <c r="M517" i="1"/>
  <c r="M486" i="1"/>
  <c r="F487" i="1"/>
  <c r="F710" i="1"/>
  <c r="M710" i="1"/>
  <c r="F559" i="1"/>
  <c r="M460" i="1"/>
  <c r="H388" i="1"/>
  <c r="F589" i="1"/>
  <c r="F547" i="1"/>
  <c r="F516" i="1"/>
  <c r="M485" i="1"/>
  <c r="M586" i="1"/>
  <c r="H509" i="1"/>
  <c r="M509" i="1"/>
  <c r="M505" i="1"/>
  <c r="F506" i="1"/>
  <c r="F437" i="1"/>
  <c r="M435" i="1"/>
  <c r="H435" i="1"/>
  <c r="M29" i="1"/>
  <c r="F637" i="1"/>
  <c r="M585" i="1"/>
  <c r="F555" i="1"/>
  <c r="M471" i="1"/>
  <c r="M464" i="1"/>
  <c r="H464" i="1"/>
  <c r="H447" i="1"/>
  <c r="I447" i="1"/>
  <c r="F450" i="1"/>
  <c r="M447" i="1"/>
  <c r="H468" i="1"/>
  <c r="I468" i="1"/>
  <c r="M468" i="1"/>
  <c r="G391" i="1"/>
  <c r="H392" i="1"/>
  <c r="H896" i="1"/>
  <c r="F382" i="1"/>
  <c r="M379" i="1"/>
  <c r="M510" i="1"/>
  <c r="M479" i="1"/>
  <c r="M463" i="1"/>
  <c r="H463" i="1"/>
  <c r="M345" i="1"/>
  <c r="F361" i="1"/>
  <c r="M474" i="1"/>
  <c r="M470" i="1"/>
  <c r="H470" i="1"/>
  <c r="I465" i="1"/>
  <c r="F476" i="1"/>
  <c r="M467" i="1"/>
  <c r="M459" i="1"/>
  <c r="I457" i="1"/>
  <c r="I453" i="1"/>
  <c r="I454" i="1"/>
  <c r="H457" i="1"/>
  <c r="H453" i="1"/>
  <c r="H380" i="1"/>
  <c r="F299" i="1"/>
  <c r="M291" i="1"/>
  <c r="F285" i="1"/>
  <c r="M285" i="1"/>
  <c r="M279" i="1"/>
  <c r="M97" i="1"/>
  <c r="F105" i="1"/>
  <c r="F251" i="1"/>
  <c r="H459" i="1"/>
  <c r="F454" i="1"/>
  <c r="M454" i="1"/>
  <c r="M457" i="1"/>
  <c r="M453" i="1"/>
  <c r="M380" i="1"/>
  <c r="H154" i="1"/>
  <c r="M177" i="1"/>
  <c r="H177" i="1"/>
  <c r="F254" i="1"/>
  <c r="M254" i="1"/>
  <c r="H134" i="1"/>
  <c r="H128" i="1"/>
  <c r="H91" i="1"/>
  <c r="I91" i="1"/>
  <c r="M91" i="1"/>
  <c r="H176" i="1"/>
  <c r="I176" i="1"/>
  <c r="H121" i="1"/>
  <c r="H84" i="1"/>
  <c r="I84" i="1"/>
  <c r="M84" i="1"/>
  <c r="H50" i="1"/>
  <c r="H164" i="1"/>
  <c r="I162" i="1"/>
  <c r="M162" i="1"/>
  <c r="M146" i="1"/>
  <c r="H100" i="1"/>
  <c r="M203" i="1"/>
  <c r="M178" i="1"/>
  <c r="H139" i="1"/>
  <c r="M139" i="1"/>
  <c r="H136" i="1"/>
  <c r="M136" i="1"/>
  <c r="F213" i="1"/>
  <c r="H175" i="1"/>
  <c r="I175" i="1"/>
  <c r="M152" i="1"/>
  <c r="F229" i="1"/>
  <c r="M229" i="1"/>
  <c r="M166" i="1"/>
  <c r="F243" i="1"/>
  <c r="M243" i="1"/>
  <c r="H138" i="1"/>
  <c r="H173" i="1"/>
  <c r="I164" i="1"/>
  <c r="M148" i="1"/>
  <c r="M143" i="1"/>
  <c r="H143" i="1"/>
  <c r="M102" i="1"/>
  <c r="F228" i="1"/>
  <c r="M228" i="1"/>
  <c r="H174" i="1"/>
  <c r="I161" i="1"/>
  <c r="H144" i="1"/>
  <c r="I128" i="1"/>
  <c r="H103" i="1"/>
  <c r="I151" i="1"/>
  <c r="H147" i="1"/>
  <c r="M147" i="1"/>
  <c r="I122" i="1"/>
  <c r="H72" i="1"/>
  <c r="I72" i="1"/>
  <c r="M72" i="1"/>
  <c r="H161" i="1"/>
  <c r="M161" i="1"/>
  <c r="I103" i="1"/>
  <c r="I257" i="1"/>
  <c r="H71" i="1"/>
  <c r="M151" i="1"/>
  <c r="H151" i="1"/>
  <c r="M135" i="1"/>
  <c r="H135" i="1"/>
  <c r="H122" i="1"/>
  <c r="M122" i="1"/>
  <c r="H64" i="1"/>
  <c r="I64" i="1"/>
  <c r="M64" i="1"/>
  <c r="H63" i="1"/>
  <c r="I99" i="1"/>
  <c r="H98" i="1"/>
  <c r="H87" i="1"/>
  <c r="M71" i="1"/>
  <c r="I68" i="1"/>
  <c r="H67" i="1"/>
  <c r="M63" i="1"/>
  <c r="I60" i="1"/>
  <c r="H59" i="1"/>
  <c r="M50" i="1"/>
  <c r="H88" i="1"/>
  <c r="H68" i="1"/>
  <c r="H60" i="1"/>
  <c r="F52" i="1"/>
  <c r="H70" i="1"/>
  <c r="H62" i="1"/>
  <c r="F200" i="1"/>
  <c r="I135" i="1"/>
  <c r="J815" i="1"/>
  <c r="K815" i="1"/>
  <c r="G180" i="1"/>
  <c r="J180" i="1"/>
  <c r="K180" i="1"/>
  <c r="J897" i="1"/>
  <c r="K897" i="1"/>
  <c r="I509" i="1"/>
  <c r="H257" i="1"/>
  <c r="H126" i="1"/>
  <c r="H127" i="1"/>
  <c r="H86" i="1"/>
  <c r="H240" i="1"/>
  <c r="H49" i="1"/>
  <c r="H52" i="1"/>
  <c r="H873" i="1"/>
  <c r="I505" i="1"/>
  <c r="I506" i="1"/>
  <c r="I924" i="1"/>
  <c r="G640" i="1"/>
  <c r="H449" i="1"/>
  <c r="I77" i="1"/>
  <c r="G77" i="1"/>
  <c r="G970" i="1"/>
  <c r="H970" i="1"/>
  <c r="F741" i="1"/>
  <c r="M741" i="1"/>
  <c r="I71" i="1"/>
  <c r="G71" i="1"/>
  <c r="I148" i="1"/>
  <c r="F157" i="1"/>
  <c r="I144" i="1"/>
  <c r="G121" i="1"/>
  <c r="J121" i="1"/>
  <c r="K121" i="1"/>
  <c r="M129" i="1"/>
  <c r="I434" i="1"/>
  <c r="H847" i="1"/>
  <c r="H165" i="1"/>
  <c r="H242" i="1"/>
  <c r="I138" i="1"/>
  <c r="G138" i="1"/>
  <c r="J138" i="1"/>
  <c r="K138" i="1"/>
  <c r="I97" i="1"/>
  <c r="G97" i="1"/>
  <c r="I381" i="1"/>
  <c r="G381" i="1"/>
  <c r="J381" i="1"/>
  <c r="K381" i="1"/>
  <c r="I464" i="1"/>
  <c r="G464" i="1"/>
  <c r="J464" i="1"/>
  <c r="K464" i="1"/>
  <c r="I435" i="1"/>
  <c r="G435" i="1"/>
  <c r="J435" i="1"/>
  <c r="K435" i="1"/>
  <c r="I640" i="1"/>
  <c r="J835" i="1"/>
  <c r="K835" i="1"/>
  <c r="I395" i="1"/>
  <c r="G395" i="1"/>
  <c r="H216" i="1"/>
  <c r="I88" i="1"/>
  <c r="I174" i="1"/>
  <c r="G174" i="1"/>
  <c r="J174" i="1"/>
  <c r="K174" i="1"/>
  <c r="I100" i="1"/>
  <c r="G100" i="1"/>
  <c r="J100" i="1"/>
  <c r="I436" i="1"/>
  <c r="G436" i="1"/>
  <c r="J436" i="1"/>
  <c r="K436" i="1"/>
  <c r="J831" i="1"/>
  <c r="K831" i="1"/>
  <c r="I433" i="1"/>
  <c r="G433" i="1"/>
  <c r="J433" i="1"/>
  <c r="K433" i="1"/>
  <c r="I380" i="1"/>
  <c r="G380" i="1"/>
  <c r="J380" i="1"/>
  <c r="K380" i="1"/>
  <c r="I388" i="1"/>
  <c r="G388" i="1"/>
  <c r="J388" i="1"/>
  <c r="K388" i="1"/>
  <c r="I85" i="1"/>
  <c r="G85" i="1"/>
  <c r="I98" i="1"/>
  <c r="I252" i="1"/>
  <c r="I136" i="1"/>
  <c r="G136" i="1"/>
  <c r="J136" i="1"/>
  <c r="K136" i="1"/>
  <c r="I146" i="1"/>
  <c r="I140" i="1"/>
  <c r="G173" i="1"/>
  <c r="J173" i="1"/>
  <c r="I843" i="1"/>
  <c r="I120" i="1"/>
  <c r="I123" i="1"/>
  <c r="H254" i="1"/>
  <c r="G168" i="1"/>
  <c r="J168" i="1"/>
  <c r="K168" i="1"/>
  <c r="G72" i="1"/>
  <c r="J72" i="1"/>
  <c r="G163" i="1"/>
  <c r="J163" i="1"/>
  <c r="K163" i="1"/>
  <c r="M165" i="1"/>
  <c r="G74" i="1"/>
  <c r="J74" i="1"/>
  <c r="I228" i="1"/>
  <c r="I139" i="1"/>
  <c r="G139" i="1"/>
  <c r="J139" i="1"/>
  <c r="K139" i="1"/>
  <c r="F698" i="1"/>
  <c r="M698" i="1"/>
  <c r="M680" i="1"/>
  <c r="I460" i="1"/>
  <c r="I177" i="1"/>
  <c r="I45" i="1"/>
  <c r="G45" i="1"/>
  <c r="I440" i="1"/>
  <c r="I441" i="1"/>
  <c r="I43" i="1"/>
  <c r="G151" i="1"/>
  <c r="J151" i="1"/>
  <c r="K151" i="1"/>
  <c r="I226" i="1"/>
  <c r="F131" i="1"/>
  <c r="M131" i="1"/>
  <c r="J827" i="1"/>
  <c r="K827" i="1"/>
  <c r="I62" i="1"/>
  <c r="G162" i="1"/>
  <c r="J162" i="1"/>
  <c r="K162" i="1"/>
  <c r="G472" i="1"/>
  <c r="J472" i="1"/>
  <c r="K472" i="1"/>
  <c r="I467" i="1"/>
  <c r="I86" i="1"/>
  <c r="I44" i="1"/>
  <c r="I198" i="1"/>
  <c r="I70" i="1"/>
  <c r="G70" i="1"/>
  <c r="J70" i="1"/>
  <c r="I473" i="1"/>
  <c r="I96" i="1"/>
  <c r="I250" i="1"/>
  <c r="F206" i="1"/>
  <c r="M206" i="1"/>
  <c r="I474" i="1"/>
  <c r="I134" i="1"/>
  <c r="G134" i="1"/>
  <c r="J134" i="1"/>
  <c r="I446" i="1"/>
  <c r="G446" i="1"/>
  <c r="I51" i="1"/>
  <c r="I205" i="1"/>
  <c r="I49" i="1"/>
  <c r="I448" i="1"/>
  <c r="G448" i="1"/>
  <c r="J448" i="1"/>
  <c r="K448" i="1"/>
  <c r="I126" i="1"/>
  <c r="G126" i="1"/>
  <c r="I449" i="1"/>
  <c r="G449" i="1"/>
  <c r="J449" i="1"/>
  <c r="K449" i="1"/>
  <c r="G60" i="1"/>
  <c r="J60" i="1"/>
  <c r="I154" i="1"/>
  <c r="G154" i="1"/>
  <c r="J154" i="1"/>
  <c r="K154" i="1"/>
  <c r="I127" i="1"/>
  <c r="I204" i="1"/>
  <c r="J817" i="1"/>
  <c r="K817" i="1"/>
  <c r="I470" i="1"/>
  <c r="G470" i="1"/>
  <c r="J470" i="1"/>
  <c r="K470" i="1"/>
  <c r="I57" i="1"/>
  <c r="G57" i="1"/>
  <c r="I903" i="1"/>
  <c r="I24" i="1"/>
  <c r="I699" i="1"/>
  <c r="M389" i="1"/>
  <c r="G895" i="1"/>
  <c r="H895" i="1"/>
  <c r="I895" i="1"/>
  <c r="H460" i="1"/>
  <c r="H486" i="1"/>
  <c r="H432" i="1"/>
  <c r="H437" i="1"/>
  <c r="H917" i="1"/>
  <c r="J731" i="1"/>
  <c r="K731" i="1"/>
  <c r="I253" i="1"/>
  <c r="G135" i="1"/>
  <c r="J135" i="1"/>
  <c r="K135" i="1"/>
  <c r="I147" i="1"/>
  <c r="F705" i="1"/>
  <c r="M705" i="1"/>
  <c r="I137" i="1"/>
  <c r="I214" i="1"/>
  <c r="H469" i="1"/>
  <c r="G469" i="1"/>
  <c r="J469" i="1"/>
  <c r="K469" i="1"/>
  <c r="I222" i="1"/>
  <c r="J823" i="1"/>
  <c r="K823" i="1"/>
  <c r="J846" i="1"/>
  <c r="K846" i="1"/>
  <c r="G161" i="1"/>
  <c r="J161" i="1"/>
  <c r="I241" i="1"/>
  <c r="G164" i="1"/>
  <c r="J164" i="1"/>
  <c r="K164" i="1"/>
  <c r="F625" i="1"/>
  <c r="F651" i="1"/>
  <c r="G847" i="1"/>
  <c r="I322" i="1"/>
  <c r="G122" i="1"/>
  <c r="J122" i="1"/>
  <c r="K122" i="1"/>
  <c r="I245" i="1"/>
  <c r="H467" i="1"/>
  <c r="H474" i="1"/>
  <c r="H843" i="1"/>
  <c r="H471" i="1"/>
  <c r="H24" i="1"/>
  <c r="H473" i="1"/>
  <c r="G843" i="1"/>
  <c r="I471" i="1"/>
  <c r="G468" i="1"/>
  <c r="J468" i="1"/>
  <c r="K468" i="1"/>
  <c r="G128" i="1"/>
  <c r="J128" i="1"/>
  <c r="K128" i="1"/>
  <c r="M691" i="1"/>
  <c r="F700" i="1"/>
  <c r="M700" i="1"/>
  <c r="F80" i="1"/>
  <c r="I218" i="1"/>
  <c r="H226" i="1"/>
  <c r="G447" i="1"/>
  <c r="J447" i="1"/>
  <c r="K447" i="1"/>
  <c r="G149" i="1"/>
  <c r="J149" i="1"/>
  <c r="K149" i="1"/>
  <c r="J819" i="1"/>
  <c r="K819" i="1"/>
  <c r="G144" i="1"/>
  <c r="J144" i="1"/>
  <c r="K144" i="1"/>
  <c r="G103" i="1"/>
  <c r="G257" i="1"/>
  <c r="G176" i="1"/>
  <c r="J176" i="1"/>
  <c r="K176" i="1"/>
  <c r="F184" i="1"/>
  <c r="M184" i="1"/>
  <c r="M88" i="1"/>
  <c r="F242" i="1"/>
  <c r="M242" i="1"/>
  <c r="G99" i="1"/>
  <c r="J99" i="1"/>
  <c r="G175" i="1"/>
  <c r="J175" i="1"/>
  <c r="K175" i="1"/>
  <c r="H238" i="1"/>
  <c r="G453" i="1"/>
  <c r="H454" i="1"/>
  <c r="M506" i="1"/>
  <c r="H924" i="1"/>
  <c r="M516" i="1"/>
  <c r="F531" i="1"/>
  <c r="H231" i="1"/>
  <c r="H250" i="1"/>
  <c r="H450" i="1"/>
  <c r="H919" i="1"/>
  <c r="J821" i="1"/>
  <c r="K821" i="1"/>
  <c r="G457" i="1"/>
  <c r="M653" i="1"/>
  <c r="H211" i="1"/>
  <c r="H123" i="1"/>
  <c r="J844" i="1"/>
  <c r="K844" i="1"/>
  <c r="G845" i="1"/>
  <c r="I845" i="1"/>
  <c r="H845" i="1"/>
  <c r="H479" i="1"/>
  <c r="G88" i="1"/>
  <c r="M157" i="1"/>
  <c r="F308" i="1"/>
  <c r="M299" i="1"/>
  <c r="F383" i="1"/>
  <c r="M382" i="1"/>
  <c r="I928" i="1"/>
  <c r="H253" i="1"/>
  <c r="G434" i="1"/>
  <c r="J434" i="1"/>
  <c r="K434" i="1"/>
  <c r="H239" i="1"/>
  <c r="H221" i="1"/>
  <c r="F232" i="1"/>
  <c r="M213" i="1"/>
  <c r="G50" i="1"/>
  <c r="H204" i="1"/>
  <c r="M555" i="1"/>
  <c r="M487" i="1"/>
  <c r="M551" i="1"/>
  <c r="H198" i="1"/>
  <c r="J833" i="1"/>
  <c r="K833" i="1"/>
  <c r="I58" i="1"/>
  <c r="I212" i="1"/>
  <c r="I66" i="1"/>
  <c r="I143" i="1"/>
  <c r="G143" i="1"/>
  <c r="J143" i="1"/>
  <c r="K143" i="1"/>
  <c r="I463" i="1"/>
  <c r="G463" i="1"/>
  <c r="J463" i="1"/>
  <c r="K463" i="1"/>
  <c r="I459" i="1"/>
  <c r="G459" i="1"/>
  <c r="J459" i="1"/>
  <c r="K459" i="1"/>
  <c r="M200" i="1"/>
  <c r="G87" i="1"/>
  <c r="H241" i="1"/>
  <c r="H252" i="1"/>
  <c r="G64" i="1"/>
  <c r="G68" i="1"/>
  <c r="M93" i="1"/>
  <c r="H245" i="1"/>
  <c r="G91" i="1"/>
  <c r="H199" i="1"/>
  <c r="I239" i="1"/>
  <c r="H145" i="1"/>
  <c r="G145" i="1"/>
  <c r="J145" i="1"/>
  <c r="K145" i="1"/>
  <c r="H141" i="1"/>
  <c r="G141" i="1"/>
  <c r="J141" i="1"/>
  <c r="K141" i="1"/>
  <c r="H137" i="1"/>
  <c r="G137" i="1"/>
  <c r="J137" i="1"/>
  <c r="K137" i="1"/>
  <c r="H461" i="1"/>
  <c r="G461" i="1"/>
  <c r="J461" i="1"/>
  <c r="K461" i="1"/>
  <c r="H465" i="1"/>
  <c r="G465" i="1"/>
  <c r="J465" i="1"/>
  <c r="K465" i="1"/>
  <c r="M633" i="1"/>
  <c r="F645" i="1"/>
  <c r="M251" i="1"/>
  <c r="F259" i="1"/>
  <c r="M476" i="1"/>
  <c r="F403" i="1"/>
  <c r="M403" i="1"/>
  <c r="M361" i="1"/>
  <c r="J391" i="1"/>
  <c r="G392" i="1"/>
  <c r="G896" i="1"/>
  <c r="J896" i="1"/>
  <c r="K896" i="1"/>
  <c r="F443" i="1"/>
  <c r="M437" i="1"/>
  <c r="M547" i="1"/>
  <c r="M559" i="1"/>
  <c r="M713" i="1"/>
  <c r="F759" i="1"/>
  <c r="H205" i="1"/>
  <c r="H228" i="1"/>
  <c r="H58" i="1"/>
  <c r="H66" i="1"/>
  <c r="H298" i="1"/>
  <c r="H281" i="1"/>
  <c r="H322" i="1"/>
  <c r="H480" i="1"/>
  <c r="I217" i="1"/>
  <c r="H213" i="1"/>
  <c r="G63" i="1"/>
  <c r="M105" i="1"/>
  <c r="M450" i="1"/>
  <c r="F646" i="1"/>
  <c r="M646" i="1"/>
  <c r="M637" i="1"/>
  <c r="H928" i="1"/>
  <c r="F596" i="1"/>
  <c r="M589" i="1"/>
  <c r="G509" i="1"/>
  <c r="H441" i="1"/>
  <c r="H251" i="1"/>
  <c r="J841" i="1"/>
  <c r="K841" i="1"/>
  <c r="F566" i="1"/>
  <c r="M563" i="1"/>
  <c r="M703" i="1"/>
  <c r="E800" i="1"/>
  <c r="J829" i="1"/>
  <c r="K829" i="1"/>
  <c r="M52" i="1"/>
  <c r="F54" i="1"/>
  <c r="H224" i="1"/>
  <c r="I238" i="1"/>
  <c r="G84" i="1"/>
  <c r="H46" i="1"/>
  <c r="H872" i="1"/>
  <c r="H354" i="1"/>
  <c r="H197" i="1"/>
  <c r="I431" i="1"/>
  <c r="I432" i="1"/>
  <c r="H65" i="1"/>
  <c r="H61" i="1"/>
  <c r="H69" i="1"/>
  <c r="H142" i="1"/>
  <c r="H148" i="1"/>
  <c r="H140" i="1"/>
  <c r="G140" i="1"/>
  <c r="J140" i="1"/>
  <c r="K140" i="1"/>
  <c r="H146" i="1"/>
  <c r="H501" i="1"/>
  <c r="H484" i="1"/>
  <c r="H500" i="1"/>
  <c r="H462" i="1"/>
  <c r="H466" i="1"/>
  <c r="I65" i="1"/>
  <c r="I61" i="1"/>
  <c r="I69" i="1"/>
  <c r="I67" i="1"/>
  <c r="I221" i="1"/>
  <c r="I142" i="1"/>
  <c r="I165" i="1"/>
  <c r="I59" i="1"/>
  <c r="I462" i="1"/>
  <c r="I484" i="1"/>
  <c r="I500" i="1"/>
  <c r="I501" i="1"/>
  <c r="I466" i="1"/>
  <c r="I486" i="1"/>
  <c r="M780" i="1"/>
  <c r="G778" i="1"/>
  <c r="F793" i="1"/>
  <c r="M793" i="1"/>
  <c r="G776" i="1"/>
  <c r="F791" i="1"/>
  <c r="M791" i="1"/>
  <c r="G779" i="1"/>
  <c r="F794" i="1"/>
  <c r="M794" i="1"/>
  <c r="G775" i="1"/>
  <c r="J631" i="1"/>
  <c r="K631" i="1"/>
  <c r="J849" i="1"/>
  <c r="K849" i="1"/>
  <c r="I225" i="1"/>
  <c r="F234" i="1"/>
  <c r="M234" i="1"/>
  <c r="G228" i="1"/>
  <c r="I215" i="1"/>
  <c r="H203" i="1"/>
  <c r="I216" i="1"/>
  <c r="J970" i="1"/>
  <c r="K970" i="1"/>
  <c r="H129" i="1"/>
  <c r="H131" i="1"/>
  <c r="G148" i="1"/>
  <c r="J148" i="1"/>
  <c r="K148" i="1"/>
  <c r="G120" i="1"/>
  <c r="I251" i="1"/>
  <c r="G467" i="1"/>
  <c r="J467" i="1"/>
  <c r="K467" i="1"/>
  <c r="H485" i="1"/>
  <c r="H482" i="1"/>
  <c r="H326" i="1"/>
  <c r="G505" i="1"/>
  <c r="J505" i="1"/>
  <c r="J640" i="1"/>
  <c r="G165" i="1"/>
  <c r="J165" i="1"/>
  <c r="K165" i="1"/>
  <c r="F744" i="1"/>
  <c r="M744" i="1"/>
  <c r="J103" i="1"/>
  <c r="K103" i="1"/>
  <c r="K257" i="1"/>
  <c r="G474" i="1"/>
  <c r="J474" i="1"/>
  <c r="K474" i="1"/>
  <c r="G98" i="1"/>
  <c r="J98" i="1"/>
  <c r="I479" i="1"/>
  <c r="G479" i="1"/>
  <c r="F697" i="1"/>
  <c r="M697" i="1"/>
  <c r="F158" i="1"/>
  <c r="M158" i="1"/>
  <c r="G51" i="1"/>
  <c r="G205" i="1"/>
  <c r="M625" i="1"/>
  <c r="G44" i="1"/>
  <c r="G198" i="1"/>
  <c r="G486" i="1"/>
  <c r="J486" i="1"/>
  <c r="K486" i="1"/>
  <c r="I254" i="1"/>
  <c r="I326" i="1"/>
  <c r="G326" i="1"/>
  <c r="J326" i="1"/>
  <c r="K326" i="1"/>
  <c r="I211" i="1"/>
  <c r="I223" i="1"/>
  <c r="G146" i="1"/>
  <c r="J146" i="1"/>
  <c r="K146" i="1"/>
  <c r="G460" i="1"/>
  <c r="J460" i="1"/>
  <c r="K460" i="1"/>
  <c r="G473" i="1"/>
  <c r="J473" i="1"/>
  <c r="K473" i="1"/>
  <c r="I213" i="1"/>
  <c r="I886" i="1"/>
  <c r="J843" i="1"/>
  <c r="K843" i="1"/>
  <c r="G62" i="1"/>
  <c r="G216" i="1"/>
  <c r="G177" i="1"/>
  <c r="J177" i="1"/>
  <c r="K177" i="1"/>
  <c r="I224" i="1"/>
  <c r="I231" i="1"/>
  <c r="M80" i="1"/>
  <c r="I654" i="1"/>
  <c r="J847" i="1"/>
  <c r="K847" i="1"/>
  <c r="I450" i="1"/>
  <c r="I919" i="1"/>
  <c r="G440" i="1"/>
  <c r="G441" i="1"/>
  <c r="I480" i="1"/>
  <c r="I921" i="1"/>
  <c r="I481" i="1"/>
  <c r="G96" i="1"/>
  <c r="G250" i="1"/>
  <c r="I482" i="1"/>
  <c r="J895" i="1"/>
  <c r="K895" i="1"/>
  <c r="I203" i="1"/>
  <c r="I206" i="1"/>
  <c r="I52" i="1"/>
  <c r="I199" i="1"/>
  <c r="I129" i="1"/>
  <c r="I131" i="1"/>
  <c r="G49" i="1"/>
  <c r="I150" i="1"/>
  <c r="G127" i="1"/>
  <c r="J127" i="1"/>
  <c r="K127" i="1"/>
  <c r="G24" i="1"/>
  <c r="G699" i="1"/>
  <c r="I197" i="1"/>
  <c r="I46" i="1"/>
  <c r="I872" i="1"/>
  <c r="I73" i="1"/>
  <c r="I824" i="1"/>
  <c r="I281" i="1"/>
  <c r="G281" i="1"/>
  <c r="J281" i="1"/>
  <c r="K281" i="1"/>
  <c r="I240" i="1"/>
  <c r="G86" i="1"/>
  <c r="G253" i="1"/>
  <c r="G471" i="1"/>
  <c r="J471" i="1"/>
  <c r="K471" i="1"/>
  <c r="I485" i="1"/>
  <c r="G485" i="1"/>
  <c r="J485" i="1"/>
  <c r="K485" i="1"/>
  <c r="I298" i="1"/>
  <c r="G298" i="1"/>
  <c r="J298" i="1"/>
  <c r="K298" i="1"/>
  <c r="I483" i="1"/>
  <c r="G43" i="1"/>
  <c r="G432" i="1"/>
  <c r="J432" i="1"/>
  <c r="K432" i="1"/>
  <c r="H150" i="1"/>
  <c r="H214" i="1"/>
  <c r="H481" i="1"/>
  <c r="G147" i="1"/>
  <c r="H483" i="1"/>
  <c r="I753" i="1"/>
  <c r="H73" i="1"/>
  <c r="J903" i="1"/>
  <c r="K903" i="1"/>
  <c r="G226" i="1"/>
  <c r="G484" i="1"/>
  <c r="J484" i="1"/>
  <c r="K484" i="1"/>
  <c r="F13" i="1"/>
  <c r="M13" i="1"/>
  <c r="H355" i="1"/>
  <c r="H515" i="1"/>
  <c r="H699" i="1"/>
  <c r="H753" i="1"/>
  <c r="H654" i="1"/>
  <c r="H217" i="1"/>
  <c r="I437" i="1"/>
  <c r="I443" i="1"/>
  <c r="I918" i="1"/>
  <c r="F247" i="1"/>
  <c r="F261" i="1"/>
  <c r="G462" i="1"/>
  <c r="J462" i="1"/>
  <c r="K462" i="1"/>
  <c r="G69" i="1"/>
  <c r="H223" i="1"/>
  <c r="H200" i="1"/>
  <c r="H884" i="1"/>
  <c r="K134" i="1"/>
  <c r="H921" i="1"/>
  <c r="M259" i="1"/>
  <c r="H206" i="1"/>
  <c r="H885" i="1"/>
  <c r="J87" i="1"/>
  <c r="G241" i="1"/>
  <c r="M232" i="1"/>
  <c r="K640" i="1"/>
  <c r="J395" i="1"/>
  <c r="H212" i="1"/>
  <c r="G58" i="1"/>
  <c r="M308" i="1"/>
  <c r="F402" i="1"/>
  <c r="H502" i="1"/>
  <c r="H923" i="1"/>
  <c r="H514" i="1"/>
  <c r="G500" i="1"/>
  <c r="G61" i="1"/>
  <c r="H215" i="1"/>
  <c r="F19" i="1"/>
  <c r="M566" i="1"/>
  <c r="F600" i="1"/>
  <c r="M600" i="1"/>
  <c r="G322" i="1"/>
  <c r="J392" i="1"/>
  <c r="K391" i="1"/>
  <c r="K392" i="1"/>
  <c r="H54" i="1"/>
  <c r="M651" i="1"/>
  <c r="J50" i="1"/>
  <c r="K173" i="1"/>
  <c r="J126" i="1"/>
  <c r="I502" i="1"/>
  <c r="I923" i="1"/>
  <c r="G501" i="1"/>
  <c r="J501" i="1"/>
  <c r="K501" i="1"/>
  <c r="M54" i="1"/>
  <c r="F208" i="1"/>
  <c r="M208" i="1"/>
  <c r="F81" i="1"/>
  <c r="J63" i="1"/>
  <c r="G217" i="1"/>
  <c r="M759" i="1"/>
  <c r="J64" i="1"/>
  <c r="G218" i="1"/>
  <c r="K100" i="1"/>
  <c r="H218" i="1"/>
  <c r="M383" i="1"/>
  <c r="F400" i="1"/>
  <c r="I242" i="1"/>
  <c r="J120" i="1"/>
  <c r="G123" i="1"/>
  <c r="J68" i="1"/>
  <c r="G222" i="1"/>
  <c r="J77" i="1"/>
  <c r="G231" i="1"/>
  <c r="I219" i="1"/>
  <c r="H511" i="1"/>
  <c r="H527" i="1"/>
  <c r="M645" i="1"/>
  <c r="F647" i="1"/>
  <c r="J45" i="1"/>
  <c r="G199" i="1"/>
  <c r="J85" i="1"/>
  <c r="G239" i="1"/>
  <c r="G454" i="1"/>
  <c r="J453" i="1"/>
  <c r="H222" i="1"/>
  <c r="J226" i="1"/>
  <c r="K72" i="1"/>
  <c r="K226" i="1"/>
  <c r="K161" i="1"/>
  <c r="G777" i="1"/>
  <c r="F790" i="1"/>
  <c r="G65" i="1"/>
  <c r="H219" i="1"/>
  <c r="J84" i="1"/>
  <c r="G238" i="1"/>
  <c r="J51" i="1"/>
  <c r="J49" i="1"/>
  <c r="J88" i="1"/>
  <c r="J228" i="1"/>
  <c r="K74" i="1"/>
  <c r="K228" i="1"/>
  <c r="H443" i="1"/>
  <c r="H918" i="1"/>
  <c r="G59" i="1"/>
  <c r="H220" i="1"/>
  <c r="G66" i="1"/>
  <c r="J91" i="1"/>
  <c r="G245" i="1"/>
  <c r="J257" i="1"/>
  <c r="G67" i="1"/>
  <c r="H225" i="1"/>
  <c r="G450" i="1"/>
  <c r="G919" i="1"/>
  <c r="J919" i="1"/>
  <c r="K919" i="1"/>
  <c r="J446" i="1"/>
  <c r="M531" i="1"/>
  <c r="F533" i="1"/>
  <c r="G214" i="1"/>
  <c r="K99" i="1"/>
  <c r="K253" i="1"/>
  <c r="J253" i="1"/>
  <c r="J457" i="1"/>
  <c r="J71" i="1"/>
  <c r="G225" i="1"/>
  <c r="J97" i="1"/>
  <c r="G251" i="1"/>
  <c r="K60" i="1"/>
  <c r="K214" i="1"/>
  <c r="J214" i="1"/>
  <c r="G466" i="1"/>
  <c r="J466" i="1"/>
  <c r="K466" i="1"/>
  <c r="G142" i="1"/>
  <c r="J142" i="1"/>
  <c r="K142" i="1"/>
  <c r="J509" i="1"/>
  <c r="G928" i="1"/>
  <c r="F20" i="1"/>
  <c r="M596" i="1"/>
  <c r="F601" i="1"/>
  <c r="M443" i="1"/>
  <c r="G431" i="1"/>
  <c r="I220" i="1"/>
  <c r="J845" i="1"/>
  <c r="K845" i="1"/>
  <c r="J57" i="1"/>
  <c r="G211" i="1"/>
  <c r="K70" i="1"/>
  <c r="G52" i="1"/>
  <c r="G482" i="1"/>
  <c r="J482" i="1"/>
  <c r="K482" i="1"/>
  <c r="G506" i="1"/>
  <c r="G924" i="1"/>
  <c r="J924" i="1"/>
  <c r="K924" i="1"/>
  <c r="G252" i="1"/>
  <c r="J44" i="1"/>
  <c r="K44" i="1"/>
  <c r="K198" i="1"/>
  <c r="J62" i="1"/>
  <c r="K62" i="1"/>
  <c r="K216" i="1"/>
  <c r="G242" i="1"/>
  <c r="G481" i="1"/>
  <c r="J481" i="1"/>
  <c r="K481" i="1"/>
  <c r="J96" i="1"/>
  <c r="M247" i="1"/>
  <c r="F746" i="1"/>
  <c r="G46" i="1"/>
  <c r="G872" i="1"/>
  <c r="J872" i="1"/>
  <c r="K872" i="1"/>
  <c r="G203" i="1"/>
  <c r="G254" i="1"/>
  <c r="J440" i="1"/>
  <c r="J441" i="1"/>
  <c r="K254" i="1"/>
  <c r="J254" i="1"/>
  <c r="H487" i="1"/>
  <c r="H922" i="1"/>
  <c r="H513" i="1"/>
  <c r="H932" i="1"/>
  <c r="G654" i="1"/>
  <c r="H227" i="1"/>
  <c r="I511" i="1"/>
  <c r="I930" i="1"/>
  <c r="G753" i="1"/>
  <c r="I227" i="1"/>
  <c r="I487" i="1"/>
  <c r="I922" i="1"/>
  <c r="G73" i="1"/>
  <c r="G824" i="1"/>
  <c r="G204" i="1"/>
  <c r="J24" i="1"/>
  <c r="J654" i="1"/>
  <c r="K654" i="1"/>
  <c r="I917" i="1"/>
  <c r="G150" i="1"/>
  <c r="J150" i="1"/>
  <c r="K150" i="1"/>
  <c r="I354" i="1"/>
  <c r="G354" i="1"/>
  <c r="J354" i="1"/>
  <c r="G129" i="1"/>
  <c r="G131" i="1"/>
  <c r="G480" i="1"/>
  <c r="G921" i="1"/>
  <c r="J921" i="1"/>
  <c r="K921" i="1"/>
  <c r="I515" i="1"/>
  <c r="G515" i="1"/>
  <c r="J515" i="1"/>
  <c r="K515" i="1"/>
  <c r="I200" i="1"/>
  <c r="I527" i="1"/>
  <c r="G527" i="1"/>
  <c r="J527" i="1"/>
  <c r="K527" i="1"/>
  <c r="I54" i="1"/>
  <c r="I873" i="1"/>
  <c r="G483" i="1"/>
  <c r="J483" i="1"/>
  <c r="K483" i="1"/>
  <c r="G240" i="1"/>
  <c r="J86" i="1"/>
  <c r="H824" i="1"/>
  <c r="J43" i="1"/>
  <c r="G197" i="1"/>
  <c r="G200" i="1"/>
  <c r="G884" i="1"/>
  <c r="I884" i="1"/>
  <c r="I546" i="1"/>
  <c r="H208" i="1"/>
  <c r="J147" i="1"/>
  <c r="G224" i="1"/>
  <c r="H510" i="1"/>
  <c r="H929" i="1"/>
  <c r="H546" i="1"/>
  <c r="H547" i="1"/>
  <c r="H874" i="1"/>
  <c r="M20" i="1"/>
  <c r="K446" i="1"/>
  <c r="K450" i="1"/>
  <c r="J450" i="1"/>
  <c r="J59" i="1"/>
  <c r="G213" i="1"/>
  <c r="K85" i="1"/>
  <c r="K239" i="1"/>
  <c r="J239" i="1"/>
  <c r="M81" i="1"/>
  <c r="F107" i="1"/>
  <c r="F235" i="1"/>
  <c r="J500" i="1"/>
  <c r="G502" i="1"/>
  <c r="G923" i="1"/>
  <c r="J923" i="1"/>
  <c r="K923" i="1"/>
  <c r="K395" i="1"/>
  <c r="K457" i="1"/>
  <c r="K51" i="1"/>
  <c r="K205" i="1"/>
  <c r="J205" i="1"/>
  <c r="K77" i="1"/>
  <c r="K231" i="1"/>
  <c r="J231" i="1"/>
  <c r="G437" i="1"/>
  <c r="G917" i="1"/>
  <c r="J917" i="1"/>
  <c r="K917" i="1"/>
  <c r="J431" i="1"/>
  <c r="K88" i="1"/>
  <c r="K242" i="1"/>
  <c r="J242" i="1"/>
  <c r="H933" i="1"/>
  <c r="F792" i="1"/>
  <c r="M792" i="1"/>
  <c r="H775" i="1"/>
  <c r="J252" i="1"/>
  <c r="K98" i="1"/>
  <c r="K252" i="1"/>
  <c r="J61" i="1"/>
  <c r="G215" i="1"/>
  <c r="J69" i="1"/>
  <c r="G223" i="1"/>
  <c r="K509" i="1"/>
  <c r="J251" i="1"/>
  <c r="K97" i="1"/>
  <c r="K251" i="1"/>
  <c r="J245" i="1"/>
  <c r="K91" i="1"/>
  <c r="K245" i="1"/>
  <c r="J238" i="1"/>
  <c r="K84" i="1"/>
  <c r="K68" i="1"/>
  <c r="K222" i="1"/>
  <c r="J222" i="1"/>
  <c r="M400" i="1"/>
  <c r="F404" i="1"/>
  <c r="M404" i="1"/>
  <c r="J218" i="1"/>
  <c r="K64" i="1"/>
  <c r="K218" i="1"/>
  <c r="M19" i="1"/>
  <c r="K87" i="1"/>
  <c r="K241" i="1"/>
  <c r="J241" i="1"/>
  <c r="H930" i="1"/>
  <c r="M402" i="1"/>
  <c r="J479" i="1"/>
  <c r="J506" i="1"/>
  <c r="K505" i="1"/>
  <c r="K506" i="1"/>
  <c r="G54" i="1"/>
  <c r="G873" i="1"/>
  <c r="J65" i="1"/>
  <c r="G219" i="1"/>
  <c r="J322" i="1"/>
  <c r="J225" i="1"/>
  <c r="K71" i="1"/>
  <c r="K225" i="1"/>
  <c r="J52" i="1"/>
  <c r="K49" i="1"/>
  <c r="J203" i="1"/>
  <c r="G780" i="1"/>
  <c r="J454" i="1"/>
  <c r="K453" i="1"/>
  <c r="K454" i="1"/>
  <c r="J199" i="1"/>
  <c r="K45" i="1"/>
  <c r="K199" i="1"/>
  <c r="J58" i="1"/>
  <c r="G212" i="1"/>
  <c r="K57" i="1"/>
  <c r="J211" i="1"/>
  <c r="J204" i="1"/>
  <c r="K50" i="1"/>
  <c r="K204" i="1"/>
  <c r="K96" i="1"/>
  <c r="J250" i="1"/>
  <c r="M601" i="1"/>
  <c r="F18" i="1"/>
  <c r="M533" i="1"/>
  <c r="F599" i="1"/>
  <c r="J67" i="1"/>
  <c r="G221" i="1"/>
  <c r="J66" i="1"/>
  <c r="G220" i="1"/>
  <c r="M790" i="1"/>
  <c r="M647" i="1"/>
  <c r="F652" i="1"/>
  <c r="F659" i="1"/>
  <c r="J123" i="1"/>
  <c r="K120" i="1"/>
  <c r="K123" i="1"/>
  <c r="J217" i="1"/>
  <c r="K63" i="1"/>
  <c r="K217" i="1"/>
  <c r="K126" i="1"/>
  <c r="K129" i="1"/>
  <c r="J129" i="1"/>
  <c r="H886" i="1"/>
  <c r="H458" i="1"/>
  <c r="M261" i="1"/>
  <c r="F374" i="1"/>
  <c r="F408" i="1"/>
  <c r="K440" i="1"/>
  <c r="K441" i="1"/>
  <c r="J216" i="1"/>
  <c r="J198" i="1"/>
  <c r="J46" i="1"/>
  <c r="M746" i="1"/>
  <c r="F749" i="1"/>
  <c r="M749" i="1"/>
  <c r="J73" i="1"/>
  <c r="K73" i="1"/>
  <c r="K227" i="1"/>
  <c r="G206" i="1"/>
  <c r="G885" i="1"/>
  <c r="G511" i="1"/>
  <c r="J511" i="1"/>
  <c r="G227" i="1"/>
  <c r="J131" i="1"/>
  <c r="K131" i="1"/>
  <c r="I355" i="1"/>
  <c r="G355" i="1"/>
  <c r="J355" i="1"/>
  <c r="K355" i="1"/>
  <c r="G443" i="1"/>
  <c r="G918" i="1"/>
  <c r="J918" i="1"/>
  <c r="K918" i="1"/>
  <c r="G487" i="1"/>
  <c r="G922" i="1"/>
  <c r="J480" i="1"/>
  <c r="K480" i="1"/>
  <c r="J54" i="1"/>
  <c r="I514" i="1"/>
  <c r="I933" i="1"/>
  <c r="J699" i="1"/>
  <c r="K24" i="1"/>
  <c r="J753" i="1"/>
  <c r="I547" i="1"/>
  <c r="I939" i="1"/>
  <c r="G546" i="1"/>
  <c r="J546" i="1"/>
  <c r="J240" i="1"/>
  <c r="K86" i="1"/>
  <c r="K240" i="1"/>
  <c r="I510" i="1"/>
  <c r="I929" i="1"/>
  <c r="J873" i="1"/>
  <c r="K873" i="1"/>
  <c r="J197" i="1"/>
  <c r="J200" i="1"/>
  <c r="K43" i="1"/>
  <c r="K197" i="1"/>
  <c r="K200" i="1"/>
  <c r="J824" i="1"/>
  <c r="K824" i="1"/>
  <c r="I874" i="1"/>
  <c r="I208" i="1"/>
  <c r="I825" i="1"/>
  <c r="H825" i="1"/>
  <c r="H76" i="1"/>
  <c r="G825" i="1"/>
  <c r="K147" i="1"/>
  <c r="K224" i="1"/>
  <c r="J224" i="1"/>
  <c r="H550" i="1"/>
  <c r="H551" i="1"/>
  <c r="H940" i="1"/>
  <c r="H732" i="1"/>
  <c r="F795" i="1"/>
  <c r="F416" i="1"/>
  <c r="G886" i="1"/>
  <c r="I458" i="1"/>
  <c r="G458" i="1"/>
  <c r="J884" i="1"/>
  <c r="K884" i="1"/>
  <c r="J212" i="1"/>
  <c r="K58" i="1"/>
  <c r="K212" i="1"/>
  <c r="K322" i="1"/>
  <c r="K61" i="1"/>
  <c r="K215" i="1"/>
  <c r="J215" i="1"/>
  <c r="H179" i="1"/>
  <c r="H167" i="1"/>
  <c r="H102" i="1"/>
  <c r="H90" i="1"/>
  <c r="M408" i="1"/>
  <c r="J220" i="1"/>
  <c r="K66" i="1"/>
  <c r="K220" i="1"/>
  <c r="F21" i="1"/>
  <c r="M18" i="1"/>
  <c r="M374" i="1"/>
  <c r="J206" i="1"/>
  <c r="K238" i="1"/>
  <c r="K500" i="1"/>
  <c r="K502" i="1"/>
  <c r="J502" i="1"/>
  <c r="K250" i="1"/>
  <c r="H89" i="1"/>
  <c r="H101" i="1"/>
  <c r="H178" i="1"/>
  <c r="H166" i="1"/>
  <c r="M659" i="1"/>
  <c r="K67" i="1"/>
  <c r="K221" i="1"/>
  <c r="J221" i="1"/>
  <c r="K354" i="1"/>
  <c r="K52" i="1"/>
  <c r="K203" i="1"/>
  <c r="K206" i="1"/>
  <c r="K479" i="1"/>
  <c r="M652" i="1"/>
  <c r="K211" i="1"/>
  <c r="J437" i="1"/>
  <c r="J443" i="1"/>
  <c r="K431" i="1"/>
  <c r="K437" i="1"/>
  <c r="K443" i="1"/>
  <c r="K65" i="1"/>
  <c r="K219" i="1"/>
  <c r="J219" i="1"/>
  <c r="F405" i="1"/>
  <c r="M235" i="1"/>
  <c r="F602" i="1"/>
  <c r="M599" i="1"/>
  <c r="G208" i="1"/>
  <c r="G874" i="1"/>
  <c r="J223" i="1"/>
  <c r="K69" i="1"/>
  <c r="K223" i="1"/>
  <c r="M107" i="1"/>
  <c r="F12" i="1"/>
  <c r="K59" i="1"/>
  <c r="K213" i="1"/>
  <c r="J213" i="1"/>
  <c r="H152" i="1"/>
  <c r="H153" i="1"/>
  <c r="H230" i="1"/>
  <c r="H75" i="1"/>
  <c r="G930" i="1"/>
  <c r="J930" i="1"/>
  <c r="K930" i="1"/>
  <c r="I885" i="1"/>
  <c r="G732" i="1"/>
  <c r="G730" i="1"/>
  <c r="J885" i="1"/>
  <c r="K885" i="1"/>
  <c r="J874" i="1"/>
  <c r="K874" i="1"/>
  <c r="I730" i="1"/>
  <c r="J227" i="1"/>
  <c r="K487" i="1"/>
  <c r="K46" i="1"/>
  <c r="K54" i="1"/>
  <c r="K208" i="1"/>
  <c r="I152" i="1"/>
  <c r="G152" i="1"/>
  <c r="J208" i="1"/>
  <c r="G510" i="1"/>
  <c r="G929" i="1"/>
  <c r="J929" i="1"/>
  <c r="K929" i="1"/>
  <c r="J487" i="1"/>
  <c r="K699" i="1"/>
  <c r="K753" i="1"/>
  <c r="K412" i="1"/>
  <c r="J412" i="1"/>
  <c r="G514" i="1"/>
  <c r="J922" i="1"/>
  <c r="K922" i="1"/>
  <c r="I513" i="1"/>
  <c r="G547" i="1"/>
  <c r="G939" i="1"/>
  <c r="J886" i="1"/>
  <c r="K886" i="1"/>
  <c r="I412" i="1"/>
  <c r="J416" i="1"/>
  <c r="J825" i="1"/>
  <c r="K825" i="1"/>
  <c r="I153" i="1"/>
  <c r="H412" i="1"/>
  <c r="G412" i="1"/>
  <c r="F412" i="1"/>
  <c r="M412" i="1"/>
  <c r="I75" i="1"/>
  <c r="H416" i="1"/>
  <c r="M795" i="1"/>
  <c r="G416" i="1"/>
  <c r="I76" i="1"/>
  <c r="G76" i="1"/>
  <c r="I416" i="1"/>
  <c r="F14" i="1"/>
  <c r="F15" i="1"/>
  <c r="M15" i="1"/>
  <c r="M405" i="1"/>
  <c r="F409" i="1"/>
  <c r="J547" i="1"/>
  <c r="K546" i="1"/>
  <c r="K547" i="1"/>
  <c r="H256" i="1"/>
  <c r="M602" i="1"/>
  <c r="F737" i="1"/>
  <c r="H939" i="1"/>
  <c r="H255" i="1"/>
  <c r="K511" i="1"/>
  <c r="H243" i="1"/>
  <c r="M416" i="1"/>
  <c r="F417" i="1"/>
  <c r="H244" i="1"/>
  <c r="M12" i="1"/>
  <c r="J458" i="1"/>
  <c r="M21" i="1"/>
  <c r="H229" i="1"/>
  <c r="H78" i="1"/>
  <c r="H155" i="1"/>
  <c r="G153" i="1"/>
  <c r="J153" i="1"/>
  <c r="K153" i="1"/>
  <c r="H232" i="1"/>
  <c r="H887" i="1"/>
  <c r="H730" i="1"/>
  <c r="J730" i="1"/>
  <c r="K730" i="1"/>
  <c r="I550" i="1"/>
  <c r="I732" i="1"/>
  <c r="J732" i="1"/>
  <c r="K732" i="1"/>
  <c r="J510" i="1"/>
  <c r="K510" i="1"/>
  <c r="I932" i="1"/>
  <c r="G513" i="1"/>
  <c r="J514" i="1"/>
  <c r="K514" i="1"/>
  <c r="G933" i="1"/>
  <c r="I230" i="1"/>
  <c r="I155" i="1"/>
  <c r="I157" i="1"/>
  <c r="I78" i="1"/>
  <c r="I81" i="1"/>
  <c r="G75" i="1"/>
  <c r="G229" i="1"/>
  <c r="I229" i="1"/>
  <c r="F28" i="1"/>
  <c r="M417" i="1"/>
  <c r="F738" i="1"/>
  <c r="F695" i="1"/>
  <c r="F650" i="1"/>
  <c r="J939" i="1"/>
  <c r="K939" i="1"/>
  <c r="H81" i="1"/>
  <c r="H80" i="1"/>
  <c r="H875" i="1"/>
  <c r="H356" i="1"/>
  <c r="H157" i="1"/>
  <c r="H158" i="1"/>
  <c r="M409" i="1"/>
  <c r="F410" i="1"/>
  <c r="J76" i="1"/>
  <c r="G230" i="1"/>
  <c r="J152" i="1"/>
  <c r="G155" i="1"/>
  <c r="M737" i="1"/>
  <c r="K458" i="1"/>
  <c r="M14" i="1"/>
  <c r="I875" i="1"/>
  <c r="I551" i="1"/>
  <c r="I940" i="1"/>
  <c r="G550" i="1"/>
  <c r="I158" i="1"/>
  <c r="I235" i="1"/>
  <c r="I232" i="1"/>
  <c r="I80" i="1"/>
  <c r="I102" i="1"/>
  <c r="I90" i="1"/>
  <c r="J933" i="1"/>
  <c r="K933" i="1"/>
  <c r="I167" i="1"/>
  <c r="G167" i="1"/>
  <c r="J167" i="1"/>
  <c r="K167" i="1"/>
  <c r="I179" i="1"/>
  <c r="G179" i="1"/>
  <c r="J179" i="1"/>
  <c r="K179" i="1"/>
  <c r="J75" i="1"/>
  <c r="J229" i="1"/>
  <c r="G932" i="1"/>
  <c r="J513" i="1"/>
  <c r="K513" i="1"/>
  <c r="G78" i="1"/>
  <c r="G875" i="1"/>
  <c r="J875" i="1"/>
  <c r="K875" i="1"/>
  <c r="G232" i="1"/>
  <c r="G887" i="1"/>
  <c r="I887" i="1"/>
  <c r="K152" i="1"/>
  <c r="K155" i="1"/>
  <c r="J155" i="1"/>
  <c r="K76" i="1"/>
  <c r="K230" i="1"/>
  <c r="J230" i="1"/>
  <c r="M410" i="1"/>
  <c r="F413" i="1"/>
  <c r="H234" i="1"/>
  <c r="H876" i="1"/>
  <c r="M650" i="1"/>
  <c r="F655" i="1"/>
  <c r="G728" i="1"/>
  <c r="M28" i="1"/>
  <c r="G157" i="1"/>
  <c r="G158" i="1"/>
  <c r="I234" i="1"/>
  <c r="I876" i="1"/>
  <c r="H235" i="1"/>
  <c r="H888" i="1"/>
  <c r="H877" i="1"/>
  <c r="M695" i="1"/>
  <c r="M738" i="1"/>
  <c r="G729" i="1"/>
  <c r="G726" i="1"/>
  <c r="J550" i="1"/>
  <c r="G551" i="1"/>
  <c r="G940" i="1"/>
  <c r="J940" i="1"/>
  <c r="K940" i="1"/>
  <c r="G81" i="1"/>
  <c r="G235" i="1"/>
  <c r="G888" i="1"/>
  <c r="J78" i="1"/>
  <c r="J80" i="1"/>
  <c r="K75" i="1"/>
  <c r="K229" i="1"/>
  <c r="K232" i="1"/>
  <c r="G80" i="1"/>
  <c r="G876" i="1"/>
  <c r="J876" i="1"/>
  <c r="K876" i="1"/>
  <c r="I101" i="1"/>
  <c r="I178" i="1"/>
  <c r="G178" i="1"/>
  <c r="J178" i="1"/>
  <c r="K178" i="1"/>
  <c r="I166" i="1"/>
  <c r="G166" i="1"/>
  <c r="J166" i="1"/>
  <c r="K166" i="1"/>
  <c r="I89" i="1"/>
  <c r="J932" i="1"/>
  <c r="K932" i="1"/>
  <c r="I244" i="1"/>
  <c r="G90" i="1"/>
  <c r="I256" i="1"/>
  <c r="G102" i="1"/>
  <c r="I356" i="1"/>
  <c r="G356" i="1"/>
  <c r="J356" i="1"/>
  <c r="H327" i="1"/>
  <c r="H278" i="1"/>
  <c r="H397" i="1"/>
  <c r="H554" i="1"/>
  <c r="H555" i="1"/>
  <c r="H941" i="1"/>
  <c r="H348" i="1"/>
  <c r="H294" i="1"/>
  <c r="H729" i="1"/>
  <c r="H728" i="1"/>
  <c r="H475" i="1"/>
  <c r="H476" i="1"/>
  <c r="H920" i="1"/>
  <c r="H726" i="1"/>
  <c r="J232" i="1"/>
  <c r="I278" i="1"/>
  <c r="I294" i="1"/>
  <c r="I397" i="1"/>
  <c r="I327" i="1"/>
  <c r="I348" i="1"/>
  <c r="I729" i="1"/>
  <c r="I726" i="1"/>
  <c r="I728" i="1"/>
  <c r="I475" i="1"/>
  <c r="I554" i="1"/>
  <c r="G234" i="1"/>
  <c r="J887" i="1"/>
  <c r="K887" i="1"/>
  <c r="J81" i="1"/>
  <c r="J157" i="1"/>
  <c r="K157" i="1"/>
  <c r="J158" i="1"/>
  <c r="K158" i="1"/>
  <c r="M655" i="1"/>
  <c r="F658" i="1"/>
  <c r="M413" i="1"/>
  <c r="K550" i="1"/>
  <c r="K551" i="1"/>
  <c r="J551" i="1"/>
  <c r="K78" i="1"/>
  <c r="K81" i="1"/>
  <c r="J728" i="1"/>
  <c r="K728" i="1"/>
  <c r="G397" i="1"/>
  <c r="J397" i="1"/>
  <c r="K397" i="1"/>
  <c r="G877" i="1"/>
  <c r="I877" i="1"/>
  <c r="J877" i="1"/>
  <c r="K877" i="1"/>
  <c r="J90" i="1"/>
  <c r="G244" i="1"/>
  <c r="I243" i="1"/>
  <c r="G89" i="1"/>
  <c r="J102" i="1"/>
  <c r="G256" i="1"/>
  <c r="I255" i="1"/>
  <c r="G101" i="1"/>
  <c r="G327" i="1"/>
  <c r="J327" i="1"/>
  <c r="K327" i="1"/>
  <c r="G278" i="1"/>
  <c r="J278" i="1"/>
  <c r="K278" i="1"/>
  <c r="J729" i="1"/>
  <c r="K729" i="1"/>
  <c r="G294" i="1"/>
  <c r="J294" i="1"/>
  <c r="K294" i="1"/>
  <c r="M658" i="1"/>
  <c r="F660" i="1"/>
  <c r="F664" i="1"/>
  <c r="J726" i="1"/>
  <c r="J235" i="1"/>
  <c r="I888" i="1"/>
  <c r="J888" i="1"/>
  <c r="K888" i="1"/>
  <c r="G348" i="1"/>
  <c r="K356" i="1"/>
  <c r="I555" i="1"/>
  <c r="I941" i="1"/>
  <c r="G554" i="1"/>
  <c r="J234" i="1"/>
  <c r="I476" i="1"/>
  <c r="I920" i="1"/>
  <c r="G475" i="1"/>
  <c r="K80" i="1"/>
  <c r="K234" i="1"/>
  <c r="J256" i="1"/>
  <c r="K102" i="1"/>
  <c r="K256" i="1"/>
  <c r="J89" i="1"/>
  <c r="G243" i="1"/>
  <c r="J101" i="1"/>
  <c r="G255" i="1"/>
  <c r="J244" i="1"/>
  <c r="K90" i="1"/>
  <c r="K244" i="1"/>
  <c r="H512" i="1"/>
  <c r="I379" i="1"/>
  <c r="I382" i="1"/>
  <c r="I383" i="1"/>
  <c r="H379" i="1"/>
  <c r="H382" i="1"/>
  <c r="H383" i="1"/>
  <c r="H894" i="1"/>
  <c r="K726" i="1"/>
  <c r="K235" i="1"/>
  <c r="M664" i="1"/>
  <c r="F665" i="1"/>
  <c r="M665" i="1"/>
  <c r="J475" i="1"/>
  <c r="G476" i="1"/>
  <c r="G920" i="1"/>
  <c r="J920" i="1"/>
  <c r="K920" i="1"/>
  <c r="F22" i="1"/>
  <c r="M660" i="1"/>
  <c r="F696" i="1"/>
  <c r="F739" i="1"/>
  <c r="J554" i="1"/>
  <c r="G555" i="1"/>
  <c r="G941" i="1"/>
  <c r="J941" i="1"/>
  <c r="K941" i="1"/>
  <c r="J348" i="1"/>
  <c r="G379" i="1"/>
  <c r="J379" i="1"/>
  <c r="K101" i="1"/>
  <c r="K255" i="1"/>
  <c r="J255" i="1"/>
  <c r="K89" i="1"/>
  <c r="K243" i="1"/>
  <c r="J243" i="1"/>
  <c r="I512" i="1"/>
  <c r="I931" i="1"/>
  <c r="H931" i="1"/>
  <c r="H516" i="1"/>
  <c r="H935" i="1"/>
  <c r="M739" i="1"/>
  <c r="M696" i="1"/>
  <c r="F701" i="1"/>
  <c r="M22" i="1"/>
  <c r="K475" i="1"/>
  <c r="K476" i="1"/>
  <c r="J476" i="1"/>
  <c r="K348" i="1"/>
  <c r="I894" i="1"/>
  <c r="G894" i="1"/>
  <c r="J894" i="1"/>
  <c r="K894" i="1"/>
  <c r="J555" i="1"/>
  <c r="K554" i="1"/>
  <c r="K555" i="1"/>
  <c r="G382" i="1"/>
  <c r="G383" i="1"/>
  <c r="G512" i="1"/>
  <c r="I516" i="1"/>
  <c r="I935" i="1"/>
  <c r="I585" i="1"/>
  <c r="H329" i="1"/>
  <c r="H297" i="1"/>
  <c r="H518" i="1"/>
  <c r="H588" i="1"/>
  <c r="H92" i="1"/>
  <c r="H93" i="1"/>
  <c r="H878" i="1"/>
  <c r="H169" i="1"/>
  <c r="H170" i="1"/>
  <c r="H333" i="1"/>
  <c r="H331" i="1"/>
  <c r="H523" i="1"/>
  <c r="H586" i="1"/>
  <c r="H524" i="1"/>
  <c r="H396" i="1"/>
  <c r="H398" i="1"/>
  <c r="H337" i="1"/>
  <c r="H339" i="1"/>
  <c r="H529" i="1"/>
  <c r="H530" i="1"/>
  <c r="H585" i="1"/>
  <c r="H526" i="1"/>
  <c r="H104" i="1"/>
  <c r="H105" i="1"/>
  <c r="H879" i="1"/>
  <c r="H341" i="1"/>
  <c r="H520" i="1"/>
  <c r="H521" i="1"/>
  <c r="H332" i="1"/>
  <c r="H181" i="1"/>
  <c r="H182" i="1"/>
  <c r="H330" i="1"/>
  <c r="H336" i="1"/>
  <c r="H528" i="1"/>
  <c r="H522" i="1"/>
  <c r="H587" i="1"/>
  <c r="H641" i="1"/>
  <c r="H642" i="1"/>
  <c r="H334" i="1"/>
  <c r="H323" i="1"/>
  <c r="H519" i="1"/>
  <c r="H525" i="1"/>
  <c r="H517" i="1"/>
  <c r="H295" i="1"/>
  <c r="H335" i="1"/>
  <c r="M701" i="1"/>
  <c r="F704" i="1"/>
  <c r="J382" i="1"/>
  <c r="J383" i="1"/>
  <c r="K379" i="1"/>
  <c r="K382" i="1"/>
  <c r="K383" i="1"/>
  <c r="I519" i="1"/>
  <c r="I588" i="1"/>
  <c r="I336" i="1"/>
  <c r="G336" i="1"/>
  <c r="J336" i="1"/>
  <c r="K336" i="1"/>
  <c r="I323" i="1"/>
  <c r="G519" i="1"/>
  <c r="J519" i="1"/>
  <c r="K519" i="1"/>
  <c r="G588" i="1"/>
  <c r="J588" i="1"/>
  <c r="K588" i="1"/>
  <c r="G935" i="1"/>
  <c r="I334" i="1"/>
  <c r="G334" i="1"/>
  <c r="J334" i="1"/>
  <c r="K334" i="1"/>
  <c r="I587" i="1"/>
  <c r="G587" i="1"/>
  <c r="J587" i="1"/>
  <c r="K587" i="1"/>
  <c r="H184" i="1"/>
  <c r="H107" i="1"/>
  <c r="O107" i="1"/>
  <c r="I586" i="1"/>
  <c r="G586" i="1"/>
  <c r="J586" i="1"/>
  <c r="K586" i="1"/>
  <c r="I517" i="1"/>
  <c r="G517" i="1"/>
  <c r="I521" i="1"/>
  <c r="G521" i="1"/>
  <c r="J521" i="1"/>
  <c r="K521" i="1"/>
  <c r="I641" i="1"/>
  <c r="I642" i="1"/>
  <c r="I525" i="1"/>
  <c r="G525" i="1"/>
  <c r="J525" i="1"/>
  <c r="K525" i="1"/>
  <c r="I341" i="1"/>
  <c r="G341" i="1"/>
  <c r="J341" i="1"/>
  <c r="K341" i="1"/>
  <c r="I330" i="1"/>
  <c r="G330" i="1"/>
  <c r="J330" i="1"/>
  <c r="K330" i="1"/>
  <c r="I331" i="1"/>
  <c r="G331" i="1"/>
  <c r="J331" i="1"/>
  <c r="K331" i="1"/>
  <c r="I332" i="1"/>
  <c r="G332" i="1"/>
  <c r="J332" i="1"/>
  <c r="K332" i="1"/>
  <c r="I92" i="1"/>
  <c r="G92" i="1"/>
  <c r="I297" i="1"/>
  <c r="G297" i="1"/>
  <c r="J297" i="1"/>
  <c r="K297" i="1"/>
  <c r="I337" i="1"/>
  <c r="G337" i="1"/>
  <c r="J337" i="1"/>
  <c r="K337" i="1"/>
  <c r="I104" i="1"/>
  <c r="G104" i="1"/>
  <c r="I339" i="1"/>
  <c r="G339" i="1"/>
  <c r="J339" i="1"/>
  <c r="K339" i="1"/>
  <c r="I526" i="1"/>
  <c r="G526" i="1"/>
  <c r="J526" i="1"/>
  <c r="K526" i="1"/>
  <c r="I333" i="1"/>
  <c r="G333" i="1"/>
  <c r="J333" i="1"/>
  <c r="K333" i="1"/>
  <c r="I528" i="1"/>
  <c r="G528" i="1"/>
  <c r="J528" i="1"/>
  <c r="K528" i="1"/>
  <c r="I522" i="1"/>
  <c r="G522" i="1"/>
  <c r="J522" i="1"/>
  <c r="K522" i="1"/>
  <c r="I329" i="1"/>
  <c r="G329" i="1"/>
  <c r="J329" i="1"/>
  <c r="K329" i="1"/>
  <c r="I524" i="1"/>
  <c r="G524" i="1"/>
  <c r="J524" i="1"/>
  <c r="K524" i="1"/>
  <c r="I396" i="1"/>
  <c r="I398" i="1"/>
  <c r="I181" i="1"/>
  <c r="I530" i="1"/>
  <c r="G530" i="1"/>
  <c r="J530" i="1"/>
  <c r="K530" i="1"/>
  <c r="I523" i="1"/>
  <c r="G523" i="1"/>
  <c r="J523" i="1"/>
  <c r="K523" i="1"/>
  <c r="I529" i="1"/>
  <c r="G529" i="1"/>
  <c r="J529" i="1"/>
  <c r="K529" i="1"/>
  <c r="I335" i="1"/>
  <c r="G335" i="1"/>
  <c r="J335" i="1"/>
  <c r="K335" i="1"/>
  <c r="I295" i="1"/>
  <c r="G295" i="1"/>
  <c r="J295" i="1"/>
  <c r="K295" i="1"/>
  <c r="I518" i="1"/>
  <c r="G518" i="1"/>
  <c r="J518" i="1"/>
  <c r="K518" i="1"/>
  <c r="I520" i="1"/>
  <c r="G520" i="1"/>
  <c r="J520" i="1"/>
  <c r="K520" i="1"/>
  <c r="I169" i="1"/>
  <c r="I170" i="1"/>
  <c r="G516" i="1"/>
  <c r="J512" i="1"/>
  <c r="G931" i="1"/>
  <c r="J931" i="1"/>
  <c r="K931" i="1"/>
  <c r="H531" i="1"/>
  <c r="H589" i="1"/>
  <c r="H948" i="1"/>
  <c r="H246" i="1"/>
  <c r="H247" i="1"/>
  <c r="H889" i="1"/>
  <c r="H258" i="1"/>
  <c r="H259" i="1"/>
  <c r="O184" i="1"/>
  <c r="H13" i="1"/>
  <c r="H881" i="1"/>
  <c r="H12" i="1"/>
  <c r="G323" i="1"/>
  <c r="M704" i="1"/>
  <c r="F709" i="1"/>
  <c r="F706" i="1"/>
  <c r="G585" i="1"/>
  <c r="G641" i="1"/>
  <c r="G396" i="1"/>
  <c r="I182" i="1"/>
  <c r="G181" i="1"/>
  <c r="I105" i="1"/>
  <c r="I258" i="1"/>
  <c r="I259" i="1"/>
  <c r="I589" i="1"/>
  <c r="J935" i="1"/>
  <c r="K935" i="1"/>
  <c r="I93" i="1"/>
  <c r="H880" i="1"/>
  <c r="I246" i="1"/>
  <c r="I247" i="1"/>
  <c r="I261" i="1"/>
  <c r="I408" i="1"/>
  <c r="G169" i="1"/>
  <c r="G170" i="1"/>
  <c r="K512" i="1"/>
  <c r="K516" i="1"/>
  <c r="J516" i="1"/>
  <c r="I531" i="1"/>
  <c r="I533" i="1"/>
  <c r="H533" i="1"/>
  <c r="H936" i="1"/>
  <c r="H261" i="1"/>
  <c r="H890" i="1"/>
  <c r="I184" i="1"/>
  <c r="I13" i="1"/>
  <c r="J181" i="1"/>
  <c r="G182" i="1"/>
  <c r="J396" i="1"/>
  <c r="G398" i="1"/>
  <c r="F23" i="1"/>
  <c r="M706" i="1"/>
  <c r="F740" i="1"/>
  <c r="J641" i="1"/>
  <c r="G642" i="1"/>
  <c r="J104" i="1"/>
  <c r="G258" i="1"/>
  <c r="G259" i="1"/>
  <c r="G105" i="1"/>
  <c r="G879" i="1"/>
  <c r="G589" i="1"/>
  <c r="J585" i="1"/>
  <c r="I948" i="1"/>
  <c r="J323" i="1"/>
  <c r="J92" i="1"/>
  <c r="G93" i="1"/>
  <c r="M709" i="1"/>
  <c r="F711" i="1"/>
  <c r="M711" i="1"/>
  <c r="J517" i="1"/>
  <c r="G531" i="1"/>
  <c r="I107" i="1"/>
  <c r="J169" i="1"/>
  <c r="K169" i="1"/>
  <c r="K170" i="1"/>
  <c r="G246" i="1"/>
  <c r="G247" i="1"/>
  <c r="G889" i="1"/>
  <c r="I889" i="1"/>
  <c r="I936" i="1"/>
  <c r="P184" i="1"/>
  <c r="H18" i="1"/>
  <c r="H599" i="1"/>
  <c r="H925" i="1"/>
  <c r="H971" i="1"/>
  <c r="H968" i="1"/>
  <c r="H629" i="1"/>
  <c r="G969" i="1"/>
  <c r="H632" i="1"/>
  <c r="H969" i="1"/>
  <c r="H684" i="1"/>
  <c r="H685" i="1"/>
  <c r="H967" i="1"/>
  <c r="H852" i="1"/>
  <c r="G971" i="1"/>
  <c r="H621" i="1"/>
  <c r="G968" i="1"/>
  <c r="G967" i="1"/>
  <c r="H408" i="1"/>
  <c r="H891" i="1"/>
  <c r="G890" i="1"/>
  <c r="M740" i="1"/>
  <c r="F742" i="1"/>
  <c r="K104" i="1"/>
  <c r="J258" i="1"/>
  <c r="J259" i="1"/>
  <c r="J105" i="1"/>
  <c r="I18" i="1"/>
  <c r="I599" i="1"/>
  <c r="I925" i="1"/>
  <c r="M23" i="1"/>
  <c r="G533" i="1"/>
  <c r="G936" i="1"/>
  <c r="I684" i="1"/>
  <c r="I12" i="1"/>
  <c r="P107" i="1"/>
  <c r="K323" i="1"/>
  <c r="K517" i="1"/>
  <c r="K531" i="1"/>
  <c r="K533" i="1"/>
  <c r="K599" i="1"/>
  <c r="J531" i="1"/>
  <c r="J533" i="1"/>
  <c r="J599" i="1"/>
  <c r="G878" i="1"/>
  <c r="G107" i="1"/>
  <c r="K396" i="1"/>
  <c r="K398" i="1"/>
  <c r="J398" i="1"/>
  <c r="J589" i="1"/>
  <c r="K585" i="1"/>
  <c r="K589" i="1"/>
  <c r="K641" i="1"/>
  <c r="K642" i="1"/>
  <c r="J642" i="1"/>
  <c r="G184" i="1"/>
  <c r="K92" i="1"/>
  <c r="J93" i="1"/>
  <c r="G948" i="1"/>
  <c r="J948" i="1"/>
  <c r="K948" i="1"/>
  <c r="K181" i="1"/>
  <c r="K182" i="1"/>
  <c r="J182" i="1"/>
  <c r="I879" i="1"/>
  <c r="J246" i="1"/>
  <c r="J247" i="1"/>
  <c r="J170" i="1"/>
  <c r="G261" i="1"/>
  <c r="I629" i="1"/>
  <c r="I967" i="1"/>
  <c r="J967" i="1"/>
  <c r="J184" i="1"/>
  <c r="I621" i="1"/>
  <c r="G621" i="1"/>
  <c r="J621" i="1"/>
  <c r="K621" i="1"/>
  <c r="I852" i="1"/>
  <c r="G852" i="1"/>
  <c r="I632" i="1"/>
  <c r="I971" i="1"/>
  <c r="J971" i="1"/>
  <c r="K971" i="1"/>
  <c r="I968" i="1"/>
  <c r="J968" i="1"/>
  <c r="K968" i="1"/>
  <c r="I969" i="1"/>
  <c r="J969" i="1"/>
  <c r="K969" i="1"/>
  <c r="H756" i="1"/>
  <c r="H867" i="1"/>
  <c r="H290" i="1"/>
  <c r="H296" i="1"/>
  <c r="H628" i="1"/>
  <c r="I357" i="1"/>
  <c r="H357" i="1"/>
  <c r="J889" i="1"/>
  <c r="K889" i="1"/>
  <c r="H282" i="1"/>
  <c r="H558" i="1"/>
  <c r="H559" i="1"/>
  <c r="H942" i="1"/>
  <c r="K184" i="1"/>
  <c r="I296" i="1"/>
  <c r="G296" i="1"/>
  <c r="J296" i="1"/>
  <c r="K296" i="1"/>
  <c r="I890" i="1"/>
  <c r="G408" i="1"/>
  <c r="G891" i="1"/>
  <c r="J879" i="1"/>
  <c r="K879" i="1"/>
  <c r="J107" i="1"/>
  <c r="I282" i="1"/>
  <c r="I558" i="1"/>
  <c r="N107" i="1"/>
  <c r="G12" i="1"/>
  <c r="G880" i="1"/>
  <c r="J261" i="1"/>
  <c r="I878" i="1"/>
  <c r="K258" i="1"/>
  <c r="K259" i="1"/>
  <c r="K105" i="1"/>
  <c r="M742" i="1"/>
  <c r="F750" i="1"/>
  <c r="K246" i="1"/>
  <c r="K247" i="1"/>
  <c r="K93" i="1"/>
  <c r="G632" i="1"/>
  <c r="J632" i="1"/>
  <c r="K632" i="1"/>
  <c r="G629" i="1"/>
  <c r="J936" i="1"/>
  <c r="K936" i="1"/>
  <c r="I685" i="1"/>
  <c r="G684" i="1"/>
  <c r="G13" i="1"/>
  <c r="J13" i="1"/>
  <c r="K13" i="1"/>
  <c r="N184" i="1"/>
  <c r="G881" i="1"/>
  <c r="G18" i="1"/>
  <c r="G599" i="1"/>
  <c r="G925" i="1"/>
  <c r="I628" i="1"/>
  <c r="I756" i="1"/>
  <c r="J629" i="1"/>
  <c r="K629" i="1"/>
  <c r="I867" i="1"/>
  <c r="I290" i="1"/>
  <c r="G290" i="1"/>
  <c r="J290" i="1"/>
  <c r="K290" i="1"/>
  <c r="G282" i="1"/>
  <c r="J282" i="1"/>
  <c r="K282" i="1"/>
  <c r="I562" i="1"/>
  <c r="I563" i="1"/>
  <c r="H562" i="1"/>
  <c r="H563" i="1"/>
  <c r="I358" i="1"/>
  <c r="I359" i="1"/>
  <c r="H358" i="1"/>
  <c r="G357" i="1"/>
  <c r="J357" i="1"/>
  <c r="K357" i="1"/>
  <c r="K107" i="1"/>
  <c r="J878" i="1"/>
  <c r="K878" i="1"/>
  <c r="G685" i="1"/>
  <c r="J684" i="1"/>
  <c r="J18" i="1"/>
  <c r="F751" i="1"/>
  <c r="M750" i="1"/>
  <c r="G628" i="1"/>
  <c r="J925" i="1"/>
  <c r="K925" i="1"/>
  <c r="J408" i="1"/>
  <c r="G679" i="1"/>
  <c r="G678" i="1"/>
  <c r="I891" i="1"/>
  <c r="G688" i="1"/>
  <c r="I881" i="1"/>
  <c r="J881" i="1"/>
  <c r="K881" i="1"/>
  <c r="I880" i="1"/>
  <c r="J880" i="1"/>
  <c r="K880" i="1"/>
  <c r="J890" i="1"/>
  <c r="K890" i="1"/>
  <c r="J12" i="1"/>
  <c r="K261" i="1"/>
  <c r="I559" i="1"/>
  <c r="I942" i="1"/>
  <c r="G558" i="1"/>
  <c r="K967" i="1"/>
  <c r="J852" i="1"/>
  <c r="K852" i="1"/>
  <c r="G867" i="1"/>
  <c r="G756" i="1"/>
  <c r="J756" i="1"/>
  <c r="K756" i="1"/>
  <c r="G358" i="1"/>
  <c r="J358" i="1"/>
  <c r="G562" i="1"/>
  <c r="G563" i="1"/>
  <c r="H359" i="1"/>
  <c r="H289" i="1"/>
  <c r="H636" i="1"/>
  <c r="H637" i="1"/>
  <c r="H646" i="1"/>
  <c r="H283" i="1"/>
  <c r="H293" i="1"/>
  <c r="H386" i="1"/>
  <c r="H679" i="1"/>
  <c r="H291" i="1"/>
  <c r="H280" i="1"/>
  <c r="H303" i="1"/>
  <c r="H305" i="1"/>
  <c r="H276" i="1"/>
  <c r="H344" i="1"/>
  <c r="H279" i="1"/>
  <c r="H302" i="1"/>
  <c r="H688" i="1"/>
  <c r="H689" i="1"/>
  <c r="H325" i="1"/>
  <c r="H284" i="1"/>
  <c r="H288" i="1"/>
  <c r="H580" i="1"/>
  <c r="H304" i="1"/>
  <c r="H324" i="1"/>
  <c r="H387" i="1"/>
  <c r="H342" i="1"/>
  <c r="H678" i="1"/>
  <c r="H328" i="1"/>
  <c r="H343" i="1"/>
  <c r="H581" i="1"/>
  <c r="H972" i="1"/>
  <c r="H973" i="1"/>
  <c r="H745" i="1"/>
  <c r="H277" i="1"/>
  <c r="H350" i="1"/>
  <c r="H292" i="1"/>
  <c r="G972" i="1"/>
  <c r="G973" i="1"/>
  <c r="G745" i="1"/>
  <c r="H338" i="1"/>
  <c r="H340" i="1"/>
  <c r="H349" i="1"/>
  <c r="H566" i="1"/>
  <c r="H943" i="1"/>
  <c r="F25" i="1"/>
  <c r="M751" i="1"/>
  <c r="F754" i="1"/>
  <c r="K12" i="1"/>
  <c r="J867" i="1"/>
  <c r="K867" i="1"/>
  <c r="G868" i="1"/>
  <c r="H868" i="1"/>
  <c r="G359" i="1"/>
  <c r="I566" i="1"/>
  <c r="I943" i="1"/>
  <c r="K18" i="1"/>
  <c r="G689" i="1"/>
  <c r="I868" i="1"/>
  <c r="J628" i="1"/>
  <c r="K408" i="1"/>
  <c r="I280" i="1"/>
  <c r="G280" i="1"/>
  <c r="J280" i="1"/>
  <c r="K280" i="1"/>
  <c r="I284" i="1"/>
  <c r="G284" i="1"/>
  <c r="J284" i="1"/>
  <c r="K284" i="1"/>
  <c r="I292" i="1"/>
  <c r="I304" i="1"/>
  <c r="I343" i="1"/>
  <c r="I338" i="1"/>
  <c r="I283" i="1"/>
  <c r="I303" i="1"/>
  <c r="I325" i="1"/>
  <c r="G325" i="1"/>
  <c r="J325" i="1"/>
  <c r="K325" i="1"/>
  <c r="I302" i="1"/>
  <c r="I324" i="1"/>
  <c r="I328" i="1"/>
  <c r="I277" i="1"/>
  <c r="I289" i="1"/>
  <c r="G289" i="1"/>
  <c r="J289" i="1"/>
  <c r="K289" i="1"/>
  <c r="I344" i="1"/>
  <c r="I293" i="1"/>
  <c r="I387" i="1"/>
  <c r="I305" i="1"/>
  <c r="I350" i="1"/>
  <c r="I342" i="1"/>
  <c r="I349" i="1"/>
  <c r="I340" i="1"/>
  <c r="I386" i="1"/>
  <c r="I288" i="1"/>
  <c r="I276" i="1"/>
  <c r="I581" i="1"/>
  <c r="I679" i="1"/>
  <c r="I688" i="1"/>
  <c r="I689" i="1"/>
  <c r="I678" i="1"/>
  <c r="I972" i="1"/>
  <c r="I580" i="1"/>
  <c r="I636" i="1"/>
  <c r="I279" i="1"/>
  <c r="I291" i="1"/>
  <c r="G559" i="1"/>
  <c r="G942" i="1"/>
  <c r="J942" i="1"/>
  <c r="K942" i="1"/>
  <c r="J558" i="1"/>
  <c r="J891" i="1"/>
  <c r="K891" i="1"/>
  <c r="G680" i="1"/>
  <c r="G698" i="1"/>
  <c r="K684" i="1"/>
  <c r="K685" i="1"/>
  <c r="J685" i="1"/>
  <c r="G344" i="1"/>
  <c r="J344" i="1"/>
  <c r="K344" i="1"/>
  <c r="G342" i="1"/>
  <c r="J342" i="1"/>
  <c r="K342" i="1"/>
  <c r="J562" i="1"/>
  <c r="G340" i="1"/>
  <c r="J340" i="1"/>
  <c r="K340" i="1"/>
  <c r="G343" i="1"/>
  <c r="J343" i="1"/>
  <c r="K343" i="1"/>
  <c r="G277" i="1"/>
  <c r="J277" i="1"/>
  <c r="K277" i="1"/>
  <c r="G283" i="1"/>
  <c r="J283" i="1"/>
  <c r="K283" i="1"/>
  <c r="G292" i="1"/>
  <c r="J292" i="1"/>
  <c r="K292" i="1"/>
  <c r="G291" i="1"/>
  <c r="J291" i="1"/>
  <c r="K291" i="1"/>
  <c r="G305" i="1"/>
  <c r="J305" i="1"/>
  <c r="K305" i="1"/>
  <c r="G279" i="1"/>
  <c r="J279" i="1"/>
  <c r="K279" i="1"/>
  <c r="G581" i="1"/>
  <c r="J581" i="1"/>
  <c r="K581" i="1"/>
  <c r="G293" i="1"/>
  <c r="J293" i="1"/>
  <c r="K293" i="1"/>
  <c r="G303" i="1"/>
  <c r="J303" i="1"/>
  <c r="K303" i="1"/>
  <c r="H351" i="1"/>
  <c r="J679" i="1"/>
  <c r="K679" i="1"/>
  <c r="G350" i="1"/>
  <c r="J350" i="1"/>
  <c r="K350" i="1"/>
  <c r="G387" i="1"/>
  <c r="J387" i="1"/>
  <c r="K387" i="1"/>
  <c r="H680" i="1"/>
  <c r="H698" i="1"/>
  <c r="H306" i="1"/>
  <c r="H345" i="1"/>
  <c r="H389" i="1"/>
  <c r="H400" i="1"/>
  <c r="H898" i="1"/>
  <c r="H582" i="1"/>
  <c r="H947" i="1"/>
  <c r="H285" i="1"/>
  <c r="H299" i="1"/>
  <c r="H691" i="1"/>
  <c r="H710" i="1"/>
  <c r="G338" i="1"/>
  <c r="J338" i="1"/>
  <c r="K338" i="1"/>
  <c r="H19" i="1"/>
  <c r="H600" i="1"/>
  <c r="H944" i="1"/>
  <c r="G328" i="1"/>
  <c r="J328" i="1"/>
  <c r="K328" i="1"/>
  <c r="G304" i="1"/>
  <c r="J304" i="1"/>
  <c r="K304" i="1"/>
  <c r="I680" i="1"/>
  <c r="I698" i="1"/>
  <c r="J972" i="1"/>
  <c r="I973" i="1"/>
  <c r="I745" i="1"/>
  <c r="J745" i="1"/>
  <c r="K745" i="1"/>
  <c r="G727" i="1"/>
  <c r="J868" i="1"/>
  <c r="K868" i="1"/>
  <c r="G733" i="1"/>
  <c r="I351" i="1"/>
  <c r="G349" i="1"/>
  <c r="I19" i="1"/>
  <c r="I600" i="1"/>
  <c r="I944" i="1"/>
  <c r="I710" i="1"/>
  <c r="I691" i="1"/>
  <c r="K628" i="1"/>
  <c r="I345" i="1"/>
  <c r="I361" i="1"/>
  <c r="I403" i="1"/>
  <c r="G324" i="1"/>
  <c r="I592" i="1"/>
  <c r="I727" i="1"/>
  <c r="I733" i="1"/>
  <c r="I593" i="1"/>
  <c r="G566" i="1"/>
  <c r="G943" i="1"/>
  <c r="J943" i="1"/>
  <c r="K943" i="1"/>
  <c r="J559" i="1"/>
  <c r="K558" i="1"/>
  <c r="K559" i="1"/>
  <c r="I306" i="1"/>
  <c r="G302" i="1"/>
  <c r="J688" i="1"/>
  <c r="J563" i="1"/>
  <c r="K562" i="1"/>
  <c r="K563" i="1"/>
  <c r="M754" i="1"/>
  <c r="F757" i="1"/>
  <c r="I285" i="1"/>
  <c r="G276" i="1"/>
  <c r="G691" i="1"/>
  <c r="G710" i="1"/>
  <c r="J678" i="1"/>
  <c r="I637" i="1"/>
  <c r="I646" i="1"/>
  <c r="G636" i="1"/>
  <c r="I299" i="1"/>
  <c r="G288" i="1"/>
  <c r="K358" i="1"/>
  <c r="K359" i="1"/>
  <c r="J359" i="1"/>
  <c r="M25" i="1"/>
  <c r="F26" i="1"/>
  <c r="I582" i="1"/>
  <c r="G580" i="1"/>
  <c r="I389" i="1"/>
  <c r="I400" i="1"/>
  <c r="G386" i="1"/>
  <c r="H592" i="1"/>
  <c r="H727" i="1"/>
  <c r="H733" i="1"/>
  <c r="H593" i="1"/>
  <c r="G593" i="1"/>
  <c r="J593" i="1"/>
  <c r="K593" i="1"/>
  <c r="J566" i="1"/>
  <c r="J600" i="1"/>
  <c r="H361" i="1"/>
  <c r="H403" i="1"/>
  <c r="H404" i="1"/>
  <c r="H308" i="1"/>
  <c r="H402" i="1"/>
  <c r="K566" i="1"/>
  <c r="K600" i="1"/>
  <c r="I734" i="1"/>
  <c r="I29" i="1"/>
  <c r="H630" i="1"/>
  <c r="H633" i="1"/>
  <c r="H645" i="1"/>
  <c r="H647" i="1"/>
  <c r="H620" i="1"/>
  <c r="H622" i="1"/>
  <c r="H705" i="1"/>
  <c r="H653" i="1"/>
  <c r="H700" i="1"/>
  <c r="M26" i="1"/>
  <c r="F30" i="1"/>
  <c r="K678" i="1"/>
  <c r="K680" i="1"/>
  <c r="K698" i="1"/>
  <c r="J680" i="1"/>
  <c r="J698" i="1"/>
  <c r="F758" i="1"/>
  <c r="M757" i="1"/>
  <c r="J386" i="1"/>
  <c r="G389" i="1"/>
  <c r="G400" i="1"/>
  <c r="J349" i="1"/>
  <c r="G351" i="1"/>
  <c r="I404" i="1"/>
  <c r="I898" i="1"/>
  <c r="J288" i="1"/>
  <c r="G299" i="1"/>
  <c r="G700" i="1"/>
  <c r="G653" i="1"/>
  <c r="G705" i="1"/>
  <c r="G19" i="1"/>
  <c r="G600" i="1"/>
  <c r="J733" i="1"/>
  <c r="K733" i="1"/>
  <c r="J580" i="1"/>
  <c r="G582" i="1"/>
  <c r="I947" i="1"/>
  <c r="G637" i="1"/>
  <c r="G646" i="1"/>
  <c r="J636" i="1"/>
  <c r="K688" i="1"/>
  <c r="K689" i="1"/>
  <c r="J689" i="1"/>
  <c r="I700" i="1"/>
  <c r="I653" i="1"/>
  <c r="I705" i="1"/>
  <c r="G306" i="1"/>
  <c r="J302" i="1"/>
  <c r="J727" i="1"/>
  <c r="G734" i="1"/>
  <c r="J276" i="1"/>
  <c r="G285" i="1"/>
  <c r="I308" i="1"/>
  <c r="I594" i="1"/>
  <c r="I596" i="1"/>
  <c r="I620" i="1"/>
  <c r="G944" i="1"/>
  <c r="I622" i="1"/>
  <c r="G622" i="1"/>
  <c r="J622" i="1"/>
  <c r="K622" i="1"/>
  <c r="H734" i="1"/>
  <c r="H594" i="1"/>
  <c r="H596" i="1"/>
  <c r="G592" i="1"/>
  <c r="J324" i="1"/>
  <c r="G345" i="1"/>
  <c r="K972" i="1"/>
  <c r="K973" i="1"/>
  <c r="J973" i="1"/>
  <c r="I741" i="1"/>
  <c r="I744" i="1"/>
  <c r="I746" i="1"/>
  <c r="I749" i="1"/>
  <c r="I630" i="1"/>
  <c r="I633" i="1"/>
  <c r="I645" i="1"/>
  <c r="I647" i="1"/>
  <c r="I652" i="1"/>
  <c r="H374" i="1"/>
  <c r="H901" i="1"/>
  <c r="H405" i="1"/>
  <c r="G361" i="1"/>
  <c r="G403" i="1"/>
  <c r="H623" i="1"/>
  <c r="H409" i="1"/>
  <c r="H410" i="1"/>
  <c r="H14" i="1"/>
  <c r="H15" i="1"/>
  <c r="H652" i="1"/>
  <c r="H659" i="1"/>
  <c r="J592" i="1"/>
  <c r="G594" i="1"/>
  <c r="G596" i="1"/>
  <c r="I402" i="1"/>
  <c r="I405" i="1"/>
  <c r="I374" i="1"/>
  <c r="J637" i="1"/>
  <c r="J646" i="1"/>
  <c r="K636" i="1"/>
  <c r="K637" i="1"/>
  <c r="K646" i="1"/>
  <c r="K302" i="1"/>
  <c r="K306" i="1"/>
  <c r="J306" i="1"/>
  <c r="J19" i="1"/>
  <c r="G308" i="1"/>
  <c r="I20" i="1"/>
  <c r="I21" i="1"/>
  <c r="I601" i="1"/>
  <c r="M758" i="1"/>
  <c r="F760" i="1"/>
  <c r="H29" i="1"/>
  <c r="H741" i="1"/>
  <c r="H744" i="1"/>
  <c r="H746" i="1"/>
  <c r="H749" i="1"/>
  <c r="G630" i="1"/>
  <c r="J944" i="1"/>
  <c r="K944" i="1"/>
  <c r="J705" i="1"/>
  <c r="K349" i="1"/>
  <c r="K351" i="1"/>
  <c r="J351" i="1"/>
  <c r="I623" i="1"/>
  <c r="G620" i="1"/>
  <c r="J285" i="1"/>
  <c r="K276" i="1"/>
  <c r="K285" i="1"/>
  <c r="G947" i="1"/>
  <c r="J947" i="1"/>
  <c r="K947" i="1"/>
  <c r="G404" i="1"/>
  <c r="G898" i="1"/>
  <c r="J898" i="1"/>
  <c r="K898" i="1"/>
  <c r="G29" i="1"/>
  <c r="G741" i="1"/>
  <c r="K580" i="1"/>
  <c r="K582" i="1"/>
  <c r="J582" i="1"/>
  <c r="J389" i="1"/>
  <c r="J400" i="1"/>
  <c r="J404" i="1"/>
  <c r="K386" i="1"/>
  <c r="K389" i="1"/>
  <c r="K400" i="1"/>
  <c r="K404" i="1"/>
  <c r="M30" i="1"/>
  <c r="R30" i="2"/>
  <c r="K727" i="1"/>
  <c r="K734" i="1"/>
  <c r="J734" i="1"/>
  <c r="J710" i="1"/>
  <c r="J691" i="1"/>
  <c r="H20" i="1"/>
  <c r="H21" i="1"/>
  <c r="H601" i="1"/>
  <c r="K324" i="1"/>
  <c r="K345" i="1"/>
  <c r="J345" i="1"/>
  <c r="K710" i="1"/>
  <c r="K691" i="1"/>
  <c r="K700" i="1"/>
  <c r="K288" i="1"/>
  <c r="K299" i="1"/>
  <c r="J299" i="1"/>
  <c r="S20" i="2"/>
  <c r="R19" i="2"/>
  <c r="R22" i="2"/>
  <c r="T22" i="2"/>
  <c r="R17" i="2"/>
  <c r="T17" i="2"/>
  <c r="R16" i="2"/>
  <c r="T16" i="2"/>
  <c r="R25" i="2"/>
  <c r="T25" i="2"/>
  <c r="S23" i="2"/>
  <c r="R15" i="2"/>
  <c r="R20" i="2"/>
  <c r="T20" i="2"/>
  <c r="R23" i="2"/>
  <c r="S17" i="2"/>
  <c r="S16" i="2"/>
  <c r="R18" i="2"/>
  <c r="T18" i="2"/>
  <c r="R21" i="2"/>
  <c r="T21" i="2"/>
  <c r="R24" i="2"/>
  <c r="T24" i="2"/>
  <c r="S19" i="2"/>
  <c r="I659" i="1"/>
  <c r="K361" i="1"/>
  <c r="K403" i="1"/>
  <c r="H902" i="1"/>
  <c r="H413" i="1"/>
  <c r="J361" i="1"/>
  <c r="J403" i="1"/>
  <c r="G402" i="1"/>
  <c r="G405" i="1"/>
  <c r="G374" i="1"/>
  <c r="G901" i="1"/>
  <c r="H949" i="1"/>
  <c r="H602" i="1"/>
  <c r="M760" i="1"/>
  <c r="J700" i="1"/>
  <c r="J653" i="1"/>
  <c r="K653" i="1"/>
  <c r="G20" i="1"/>
  <c r="G601" i="1"/>
  <c r="G602" i="1"/>
  <c r="G737" i="1"/>
  <c r="K705" i="1"/>
  <c r="F761" i="1"/>
  <c r="K19" i="1"/>
  <c r="G744" i="1"/>
  <c r="G746" i="1"/>
  <c r="G749" i="1"/>
  <c r="J749" i="1"/>
  <c r="J741" i="1"/>
  <c r="J308" i="1"/>
  <c r="I14" i="1"/>
  <c r="I15" i="1"/>
  <c r="I409" i="1"/>
  <c r="I410" i="1"/>
  <c r="I413" i="1"/>
  <c r="G413" i="1"/>
  <c r="J413" i="1"/>
  <c r="K413" i="1"/>
  <c r="J29" i="1"/>
  <c r="K29" i="1"/>
  <c r="I949" i="1"/>
  <c r="I602" i="1"/>
  <c r="K308" i="1"/>
  <c r="J620" i="1"/>
  <c r="G623" i="1"/>
  <c r="J630" i="1"/>
  <c r="G633" i="1"/>
  <c r="G645" i="1"/>
  <c r="G647" i="1"/>
  <c r="J594" i="1"/>
  <c r="J596" i="1"/>
  <c r="J601" i="1"/>
  <c r="J602" i="1"/>
  <c r="K592" i="1"/>
  <c r="K594" i="1"/>
  <c r="K596" i="1"/>
  <c r="T15" i="2"/>
  <c r="R27" i="2"/>
  <c r="U18" i="2"/>
  <c r="U16" i="2"/>
  <c r="U21" i="2"/>
  <c r="S27" i="2"/>
  <c r="U17" i="2"/>
  <c r="U24" i="2"/>
  <c r="U25" i="2"/>
  <c r="U22" i="2"/>
  <c r="T23" i="2"/>
  <c r="T19" i="2"/>
  <c r="U20" i="2"/>
  <c r="G652" i="1"/>
  <c r="G659" i="1"/>
  <c r="K630" i="1"/>
  <c r="K633" i="1"/>
  <c r="K645" i="1"/>
  <c r="K647" i="1"/>
  <c r="J633" i="1"/>
  <c r="J645" i="1"/>
  <c r="J647" i="1"/>
  <c r="H737" i="1"/>
  <c r="H950" i="1"/>
  <c r="J402" i="1"/>
  <c r="J405" i="1"/>
  <c r="J409" i="1"/>
  <c r="J410" i="1"/>
  <c r="J374" i="1"/>
  <c r="G949" i="1"/>
  <c r="J949" i="1"/>
  <c r="K949" i="1"/>
  <c r="K620" i="1"/>
  <c r="K623" i="1"/>
  <c r="J623" i="1"/>
  <c r="J744" i="1"/>
  <c r="J746" i="1"/>
  <c r="K741" i="1"/>
  <c r="K744" i="1"/>
  <c r="K746" i="1"/>
  <c r="K749" i="1"/>
  <c r="K601" i="1"/>
  <c r="K602" i="1"/>
  <c r="K402" i="1"/>
  <c r="K405" i="1"/>
  <c r="K409" i="1"/>
  <c r="K410" i="1"/>
  <c r="K374" i="1"/>
  <c r="J20" i="1"/>
  <c r="G21" i="1"/>
  <c r="I737" i="1"/>
  <c r="I950" i="1"/>
  <c r="I901" i="1"/>
  <c r="J901" i="1"/>
  <c r="K901" i="1"/>
  <c r="G14" i="1"/>
  <c r="G409" i="1"/>
  <c r="G410" i="1"/>
  <c r="G902" i="1"/>
  <c r="M761" i="1"/>
  <c r="V24" i="2"/>
  <c r="W24" i="2"/>
  <c r="W20" i="2"/>
  <c r="V20" i="2"/>
  <c r="W21" i="2"/>
  <c r="V21" i="2"/>
  <c r="V16" i="2"/>
  <c r="W16" i="2"/>
  <c r="W17" i="2"/>
  <c r="V17" i="2"/>
  <c r="V18" i="2"/>
  <c r="W18" i="2"/>
  <c r="W22" i="2"/>
  <c r="V22" i="2"/>
  <c r="V25" i="2"/>
  <c r="W25" i="2"/>
  <c r="U23" i="2"/>
  <c r="U15" i="2"/>
  <c r="U19" i="2"/>
  <c r="T27" i="2"/>
  <c r="I902" i="1"/>
  <c r="G950" i="1"/>
  <c r="J950" i="1"/>
  <c r="K950" i="1"/>
  <c r="J14" i="1"/>
  <c r="G15" i="1"/>
  <c r="J659" i="1"/>
  <c r="K659" i="1"/>
  <c r="J652" i="1"/>
  <c r="K652" i="1"/>
  <c r="K20" i="1"/>
  <c r="J21" i="1"/>
  <c r="J737" i="1"/>
  <c r="V19" i="2"/>
  <c r="W19" i="2"/>
  <c r="V15" i="2"/>
  <c r="W15" i="2"/>
  <c r="W23" i="2"/>
  <c r="V23" i="2"/>
  <c r="U27" i="2"/>
  <c r="J902" i="1"/>
  <c r="K902" i="1"/>
  <c r="H616" i="1"/>
  <c r="H617" i="1"/>
  <c r="H625" i="1"/>
  <c r="H415" i="1"/>
  <c r="H417" i="1"/>
  <c r="K14" i="1"/>
  <c r="K15" i="1"/>
  <c r="J15" i="1"/>
  <c r="K737" i="1"/>
  <c r="I616" i="1"/>
  <c r="I415" i="1"/>
  <c r="K21" i="1"/>
  <c r="V27" i="2"/>
  <c r="W27" i="2"/>
  <c r="H28" i="1"/>
  <c r="H650" i="1"/>
  <c r="H738" i="1"/>
  <c r="H695" i="1"/>
  <c r="H697" i="1"/>
  <c r="H651" i="1"/>
  <c r="I417" i="1"/>
  <c r="G415" i="1"/>
  <c r="J415" i="1"/>
  <c r="I617" i="1"/>
  <c r="I625" i="1"/>
  <c r="G616" i="1"/>
  <c r="H655" i="1"/>
  <c r="H658" i="1"/>
  <c r="H660" i="1"/>
  <c r="G617" i="1"/>
  <c r="G625" i="1"/>
  <c r="J616" i="1"/>
  <c r="I697" i="1"/>
  <c r="I651" i="1"/>
  <c r="J417" i="1"/>
  <c r="K415" i="1"/>
  <c r="I28" i="1"/>
  <c r="I650" i="1"/>
  <c r="I738" i="1"/>
  <c r="I695" i="1"/>
  <c r="G417" i="1"/>
  <c r="I655" i="1"/>
  <c r="I658" i="1"/>
  <c r="I664" i="1"/>
  <c r="I665" i="1"/>
  <c r="H664" i="1"/>
  <c r="H665" i="1"/>
  <c r="H696" i="1"/>
  <c r="H701" i="1"/>
  <c r="H704" i="1"/>
  <c r="H739" i="1"/>
  <c r="H22" i="1"/>
  <c r="J695" i="1"/>
  <c r="J650" i="1"/>
  <c r="K417" i="1"/>
  <c r="K695" i="1"/>
  <c r="G28" i="1"/>
  <c r="J28" i="1"/>
  <c r="K28" i="1"/>
  <c r="G695" i="1"/>
  <c r="G650" i="1"/>
  <c r="G738" i="1"/>
  <c r="K616" i="1"/>
  <c r="K617" i="1"/>
  <c r="K625" i="1"/>
  <c r="K697" i="1"/>
  <c r="J617" i="1"/>
  <c r="J625" i="1"/>
  <c r="G697" i="1"/>
  <c r="G651" i="1"/>
  <c r="G658" i="1"/>
  <c r="G660" i="1"/>
  <c r="I660" i="1"/>
  <c r="I22" i="1"/>
  <c r="H709" i="1"/>
  <c r="H711" i="1"/>
  <c r="H706" i="1"/>
  <c r="G655" i="1"/>
  <c r="J651" i="1"/>
  <c r="K651" i="1"/>
  <c r="J697" i="1"/>
  <c r="J738" i="1"/>
  <c r="J658" i="1"/>
  <c r="K650" i="1"/>
  <c r="G664" i="1"/>
  <c r="G665" i="1"/>
  <c r="I696" i="1"/>
  <c r="I701" i="1"/>
  <c r="I704" i="1"/>
  <c r="I709" i="1"/>
  <c r="I711" i="1"/>
  <c r="I739" i="1"/>
  <c r="H23" i="1"/>
  <c r="H740" i="1"/>
  <c r="H742" i="1"/>
  <c r="H750" i="1"/>
  <c r="H751" i="1"/>
  <c r="K655" i="1"/>
  <c r="G22" i="1"/>
  <c r="G739" i="1"/>
  <c r="G696" i="1"/>
  <c r="G701" i="1"/>
  <c r="J655" i="1"/>
  <c r="J664" i="1"/>
  <c r="J665" i="1"/>
  <c r="J660" i="1"/>
  <c r="J696" i="1"/>
  <c r="J701" i="1"/>
  <c r="K658" i="1"/>
  <c r="K738" i="1"/>
  <c r="G704" i="1"/>
  <c r="J704" i="1"/>
  <c r="I706" i="1"/>
  <c r="I23" i="1"/>
  <c r="H25" i="1"/>
  <c r="H26" i="1"/>
  <c r="H30" i="1"/>
  <c r="H754" i="1"/>
  <c r="J739" i="1"/>
  <c r="J22" i="1"/>
  <c r="K660" i="1"/>
  <c r="K696" i="1"/>
  <c r="K701" i="1"/>
  <c r="K664" i="1"/>
  <c r="K665" i="1"/>
  <c r="I740" i="1"/>
  <c r="I742" i="1"/>
  <c r="I750" i="1"/>
  <c r="I751" i="1"/>
  <c r="I754" i="1"/>
  <c r="G706" i="1"/>
  <c r="G709" i="1"/>
  <c r="G711" i="1"/>
  <c r="H757" i="1"/>
  <c r="H758" i="1"/>
  <c r="H760" i="1"/>
  <c r="H761" i="1"/>
  <c r="H953" i="1"/>
  <c r="K22" i="1"/>
  <c r="K739" i="1"/>
  <c r="G23" i="1"/>
  <c r="G740" i="1"/>
  <c r="J709" i="1"/>
  <c r="J711" i="1"/>
  <c r="K704" i="1"/>
  <c r="J706" i="1"/>
  <c r="I25" i="1"/>
  <c r="I26" i="1"/>
  <c r="I30" i="1"/>
  <c r="H851" i="1"/>
  <c r="H865" i="1"/>
  <c r="J23" i="1"/>
  <c r="I757" i="1"/>
  <c r="I758" i="1"/>
  <c r="I953" i="1"/>
  <c r="K709" i="1"/>
  <c r="K711" i="1"/>
  <c r="K706" i="1"/>
  <c r="J740" i="1"/>
  <c r="G742" i="1"/>
  <c r="G750" i="1"/>
  <c r="G751" i="1"/>
  <c r="J750" i="1"/>
  <c r="J751" i="1"/>
  <c r="K740" i="1"/>
  <c r="J742" i="1"/>
  <c r="K742" i="1"/>
  <c r="K750" i="1"/>
  <c r="K751" i="1"/>
  <c r="K754" i="1"/>
  <c r="I760" i="1"/>
  <c r="G760" i="1"/>
  <c r="J760" i="1"/>
  <c r="K760" i="1"/>
  <c r="K23" i="1"/>
  <c r="I761" i="1"/>
  <c r="J754" i="1"/>
  <c r="G25" i="1"/>
  <c r="G754" i="1"/>
  <c r="G757" i="1"/>
  <c r="G953" i="1"/>
  <c r="J25" i="1"/>
  <c r="G26" i="1"/>
  <c r="G30" i="1"/>
  <c r="J953" i="1"/>
  <c r="K953" i="1"/>
  <c r="I851" i="1"/>
  <c r="K25" i="1"/>
  <c r="J26" i="1"/>
  <c r="J757" i="1"/>
  <c r="K757" i="1"/>
  <c r="G758" i="1"/>
  <c r="I865" i="1"/>
  <c r="G851" i="1"/>
  <c r="J30" i="1"/>
  <c r="K30" i="1"/>
  <c r="K26" i="1"/>
  <c r="J758" i="1"/>
  <c r="K758" i="1"/>
  <c r="G761" i="1"/>
  <c r="J761" i="1"/>
  <c r="K761" i="1"/>
  <c r="G865" i="1"/>
  <c r="J851" i="1"/>
  <c r="K851" i="1"/>
  <c r="I866" i="1"/>
  <c r="J865" i="1"/>
  <c r="K865" i="1"/>
  <c r="G866" i="1"/>
  <c r="H866" i="1"/>
  <c r="J866" i="1"/>
  <c r="K866" i="1"/>
</calcChain>
</file>

<file path=xl/comments1.xml><?xml version="1.0" encoding="utf-8"?>
<comments xmlns="http://schemas.openxmlformats.org/spreadsheetml/2006/main">
  <authors>
    <author>Patten, Dana</author>
    <author>Ted Czupik</author>
    <author>t61190</author>
  </authors>
  <commentList>
    <comment ref="F15" authorId="0">
      <text>
        <r>
          <rPr>
            <b/>
            <sz val="9"/>
            <color indexed="81"/>
            <rFont val="Tahoma"/>
            <family val="2"/>
          </rPr>
          <t>Patten, Dana:</t>
        </r>
        <r>
          <rPr>
            <sz val="9"/>
            <color indexed="81"/>
            <rFont val="Tahoma"/>
            <family val="2"/>
          </rPr>
          <t xml:space="preserve">
ties to Sch B1 total</t>
        </r>
      </text>
    </comment>
    <comment ref="L15" authorId="0">
      <text>
        <r>
          <rPr>
            <b/>
            <sz val="9"/>
            <color indexed="81"/>
            <rFont val="Tahoma"/>
            <family val="2"/>
          </rPr>
          <t>Patten, Dana:</t>
        </r>
        <r>
          <rPr>
            <sz val="9"/>
            <color indexed="81"/>
            <rFont val="Tahoma"/>
            <family val="2"/>
          </rPr>
          <t xml:space="preserve">
ties to Sch B1 total</t>
        </r>
      </text>
    </comment>
    <comment ref="F18" authorId="1">
      <text>
        <r>
          <rPr>
            <sz val="10"/>
            <color indexed="81"/>
            <rFont val="Tahoma"/>
            <family val="2"/>
          </rPr>
          <t xml:space="preserve">Should agree with last column son Schedule C-1
</t>
        </r>
      </text>
    </comment>
    <comment ref="L18" authorId="1">
      <text>
        <r>
          <rPr>
            <sz val="10"/>
            <color indexed="81"/>
            <rFont val="Tahoma"/>
            <family val="2"/>
          </rPr>
          <t xml:space="preserve">Should agree with last column son Schedule C-1
</t>
        </r>
      </text>
    </comment>
    <comment ref="F19" authorId="1">
      <text>
        <r>
          <rPr>
            <sz val="10"/>
            <color indexed="81"/>
            <rFont val="Tahoma"/>
            <family val="2"/>
          </rPr>
          <t xml:space="preserve">Should agree with last column son Schedule C-1
</t>
        </r>
      </text>
    </comment>
    <comment ref="L19" authorId="1">
      <text>
        <r>
          <rPr>
            <sz val="10"/>
            <color indexed="81"/>
            <rFont val="Tahoma"/>
            <family val="2"/>
          </rPr>
          <t xml:space="preserve">Should agree with last column son Schedule C-1
</t>
        </r>
      </text>
    </comment>
    <comment ref="F20" authorId="1">
      <text>
        <r>
          <rPr>
            <sz val="10"/>
            <color indexed="81"/>
            <rFont val="Tahoma"/>
            <family val="2"/>
          </rPr>
          <t xml:space="preserve">Should agree with last column son Schedule C-1
</t>
        </r>
      </text>
    </comment>
    <comment ref="L20" authorId="1">
      <text>
        <r>
          <rPr>
            <sz val="10"/>
            <color indexed="81"/>
            <rFont val="Tahoma"/>
            <family val="2"/>
          </rPr>
          <t xml:space="preserve">Should agree with last column son Schedule C-1
</t>
        </r>
      </text>
    </comment>
    <comment ref="F22" authorId="1">
      <text>
        <r>
          <rPr>
            <sz val="10"/>
            <color indexed="81"/>
            <rFont val="Tahoma"/>
            <family val="2"/>
          </rPr>
          <t xml:space="preserve">Should agree with last column son Schedule C-1
</t>
        </r>
      </text>
    </comment>
    <comment ref="L22" authorId="1">
      <text>
        <r>
          <rPr>
            <sz val="10"/>
            <color indexed="81"/>
            <rFont val="Tahoma"/>
            <family val="2"/>
          </rPr>
          <t xml:space="preserve">Should agree with last column son Schedule C-1
</t>
        </r>
      </text>
    </comment>
    <comment ref="F23" authorId="1">
      <text>
        <r>
          <rPr>
            <sz val="10"/>
            <color indexed="81"/>
            <rFont val="Tahoma"/>
            <family val="2"/>
          </rPr>
          <t xml:space="preserve">Should agree with last column son Schedule C-1
</t>
        </r>
      </text>
    </comment>
    <comment ref="L23" authorId="1">
      <text>
        <r>
          <rPr>
            <sz val="10"/>
            <color indexed="81"/>
            <rFont val="Tahoma"/>
            <family val="2"/>
          </rPr>
          <t xml:space="preserve">Should agree with last column son Schedule C-1
</t>
        </r>
      </text>
    </comment>
    <comment ref="F26" authorId="1">
      <text>
        <r>
          <rPr>
            <sz val="10"/>
            <color indexed="81"/>
            <rFont val="Tahoma"/>
            <family val="2"/>
          </rPr>
          <t xml:space="preserve">Needs to tie to Sch. C-1, Column (C), which reflects the requested rate increase.
</t>
        </r>
      </text>
    </comment>
    <comment ref="L26" authorId="1">
      <text>
        <r>
          <rPr>
            <sz val="10"/>
            <color indexed="81"/>
            <rFont val="Tahoma"/>
            <family val="2"/>
          </rPr>
          <t xml:space="preserve">Needs to tie to Sch. C-1, Column (C), which reflects the requested rate increase.
</t>
        </r>
      </text>
    </comment>
    <comment ref="F107" authorId="0">
      <text>
        <r>
          <rPr>
            <b/>
            <sz val="9"/>
            <color indexed="81"/>
            <rFont val="Tahoma"/>
            <family val="2"/>
          </rPr>
          <t>Patten, Dana:</t>
        </r>
        <r>
          <rPr>
            <sz val="9"/>
            <color indexed="81"/>
            <rFont val="Tahoma"/>
            <family val="2"/>
          </rPr>
          <t xml:space="preserve">
Ties to Sch B1, Line 1</t>
        </r>
      </text>
    </comment>
    <comment ref="L107" authorId="0">
      <text>
        <r>
          <rPr>
            <b/>
            <sz val="9"/>
            <color indexed="81"/>
            <rFont val="Tahoma"/>
            <family val="2"/>
          </rPr>
          <t>Patten, Dana:</t>
        </r>
        <r>
          <rPr>
            <sz val="9"/>
            <color indexed="81"/>
            <rFont val="Tahoma"/>
            <family val="2"/>
          </rPr>
          <t xml:space="preserve">
Ties to Sch B1, Line 1</t>
        </r>
      </text>
    </comment>
    <comment ref="F184" authorId="0">
      <text>
        <r>
          <rPr>
            <b/>
            <sz val="9"/>
            <color indexed="81"/>
            <rFont val="Tahoma"/>
            <family val="2"/>
          </rPr>
          <t>Patten, Dana:</t>
        </r>
        <r>
          <rPr>
            <sz val="9"/>
            <color indexed="81"/>
            <rFont val="Tahoma"/>
            <family val="2"/>
          </rPr>
          <t xml:space="preserve">
Ties to Sch B1, line 2</t>
        </r>
      </text>
    </comment>
    <comment ref="L184" authorId="0">
      <text>
        <r>
          <rPr>
            <b/>
            <sz val="9"/>
            <color indexed="81"/>
            <rFont val="Tahoma"/>
            <family val="2"/>
          </rPr>
          <t>Patten, Dana:</t>
        </r>
        <r>
          <rPr>
            <sz val="9"/>
            <color indexed="81"/>
            <rFont val="Tahoma"/>
            <family val="2"/>
          </rPr>
          <t xml:space="preserve">
Ties to Sch B1, line 2</t>
        </r>
      </text>
    </comment>
    <comment ref="F261" authorId="0">
      <text>
        <r>
          <rPr>
            <b/>
            <sz val="9"/>
            <color indexed="81"/>
            <rFont val="Tahoma"/>
            <family val="2"/>
          </rPr>
          <t>Patten, Dana:</t>
        </r>
        <r>
          <rPr>
            <sz val="9"/>
            <color indexed="81"/>
            <rFont val="Tahoma"/>
            <family val="2"/>
          </rPr>
          <t xml:space="preserve">
Ties to Sch B1, line 3</t>
        </r>
      </text>
    </comment>
    <comment ref="L261" authorId="0">
      <text>
        <r>
          <rPr>
            <b/>
            <sz val="9"/>
            <color indexed="81"/>
            <rFont val="Tahoma"/>
            <family val="2"/>
          </rPr>
          <t>Patten, Dana:</t>
        </r>
        <r>
          <rPr>
            <sz val="9"/>
            <color indexed="81"/>
            <rFont val="Tahoma"/>
            <family val="2"/>
          </rPr>
          <t xml:space="preserve">
Ties to Sch B1, line 3</t>
        </r>
      </text>
    </comment>
    <comment ref="C291" authorId="0">
      <text>
        <r>
          <rPr>
            <b/>
            <sz val="9"/>
            <color indexed="81"/>
            <rFont val="Tahoma"/>
            <family val="2"/>
          </rPr>
          <t>Patten, Dana:</t>
        </r>
        <r>
          <rPr>
            <sz val="9"/>
            <color indexed="81"/>
            <rFont val="Tahoma"/>
            <family val="2"/>
          </rPr>
          <t xml:space="preserve">
Storm Damage Recovery?</t>
        </r>
      </text>
    </comment>
    <comment ref="D295" authorId="1">
      <text>
        <r>
          <rPr>
            <sz val="10"/>
            <color indexed="81"/>
            <rFont val="Tahoma"/>
            <family val="2"/>
          </rPr>
          <t xml:space="preserve">Used AG39 because geneeral plant is allocated using functional labor from Form 1
</t>
        </r>
      </text>
    </comment>
    <comment ref="F417" authorId="0">
      <text>
        <r>
          <rPr>
            <b/>
            <sz val="9"/>
            <color indexed="81"/>
            <rFont val="Tahoma"/>
            <family val="2"/>
          </rPr>
          <t>Patten, Dana:</t>
        </r>
        <r>
          <rPr>
            <sz val="9"/>
            <color indexed="81"/>
            <rFont val="Tahoma"/>
            <family val="2"/>
          </rPr>
          <t xml:space="preserve">
Ties to Sch A, line 5
</t>
        </r>
      </text>
    </comment>
    <comment ref="L417" authorId="0">
      <text>
        <r>
          <rPr>
            <b/>
            <sz val="9"/>
            <color indexed="81"/>
            <rFont val="Tahoma"/>
            <family val="2"/>
          </rPr>
          <t>Patten, Dana:</t>
        </r>
        <r>
          <rPr>
            <sz val="9"/>
            <color indexed="81"/>
            <rFont val="Tahoma"/>
            <family val="2"/>
          </rPr>
          <t xml:space="preserve">
Ties to Sch A, line 5
</t>
        </r>
      </text>
    </comment>
    <comment ref="C449" authorId="1">
      <text>
        <r>
          <rPr>
            <sz val="10"/>
            <color indexed="81"/>
            <rFont val="Tahoma"/>
            <family val="2"/>
          </rPr>
          <t xml:space="preserve">NITS revenue received from PJM is charged to DEK's books in account 565
</t>
        </r>
      </text>
    </comment>
    <comment ref="F483" authorId="1">
      <text>
        <r>
          <rPr>
            <sz val="10"/>
            <color indexed="81"/>
            <rFont val="Tahoma"/>
            <family val="2"/>
          </rPr>
          <t xml:space="preserve">Sch. C-1
</t>
        </r>
      </text>
    </comment>
    <comment ref="L483" authorId="1">
      <text>
        <r>
          <rPr>
            <sz val="10"/>
            <color indexed="81"/>
            <rFont val="Tahoma"/>
            <family val="2"/>
          </rPr>
          <t xml:space="preserve">Sch. C-1
</t>
        </r>
      </text>
    </comment>
    <comment ref="D500" authorId="1">
      <text>
        <r>
          <rPr>
            <b/>
            <sz val="10"/>
            <color indexed="81"/>
            <rFont val="Tahoma"/>
            <family val="2"/>
          </rPr>
          <t>See NARUC manual, page 103, for proper allocation.</t>
        </r>
      </text>
    </comment>
    <comment ref="D505" authorId="1">
      <text>
        <r>
          <rPr>
            <sz val="10"/>
            <color indexed="81"/>
            <rFont val="Tahoma"/>
            <family val="2"/>
          </rPr>
          <t xml:space="preserve">Per NARUC these costs should be directly assigned or allocated based upon overall revenue responsibility  of each class
</t>
        </r>
      </text>
    </comment>
    <comment ref="F562" authorId="0">
      <text>
        <r>
          <rPr>
            <b/>
            <sz val="9"/>
            <color indexed="81"/>
            <rFont val="Tahoma"/>
            <family val="2"/>
          </rPr>
          <t>Patten, Dana:</t>
        </r>
        <r>
          <rPr>
            <sz val="9"/>
            <color indexed="81"/>
            <rFont val="Tahoma"/>
            <family val="2"/>
          </rPr>
          <t xml:space="preserve">
Included adjustment from D 2.21</t>
        </r>
      </text>
    </comment>
    <comment ref="L562" authorId="0">
      <text>
        <r>
          <rPr>
            <b/>
            <sz val="9"/>
            <color indexed="81"/>
            <rFont val="Tahoma"/>
            <family val="2"/>
          </rPr>
          <t>Patten, Dana:</t>
        </r>
        <r>
          <rPr>
            <sz val="9"/>
            <color indexed="81"/>
            <rFont val="Tahoma"/>
            <family val="2"/>
          </rPr>
          <t xml:space="preserve">
Included adjustment from D 2.21</t>
        </r>
      </text>
    </comment>
    <comment ref="F592" authorId="1">
      <text>
        <r>
          <rPr>
            <sz val="10"/>
            <color indexed="81"/>
            <rFont val="Tahoma"/>
            <family val="2"/>
          </rPr>
          <t xml:space="preserve">Sch. C-1
</t>
        </r>
      </text>
    </comment>
    <comment ref="L592" authorId="1">
      <text>
        <r>
          <rPr>
            <sz val="10"/>
            <color indexed="81"/>
            <rFont val="Tahoma"/>
            <family val="2"/>
          </rPr>
          <t xml:space="preserve">Sch. C-1
</t>
        </r>
      </text>
    </comment>
    <comment ref="F593" authorId="1">
      <text>
        <r>
          <rPr>
            <sz val="10"/>
            <color indexed="81"/>
            <rFont val="Tahoma"/>
            <family val="2"/>
          </rPr>
          <t xml:space="preserve">Sch. C-1
</t>
        </r>
      </text>
    </comment>
    <comment ref="L593" authorId="1">
      <text>
        <r>
          <rPr>
            <sz val="10"/>
            <color indexed="81"/>
            <rFont val="Tahoma"/>
            <family val="2"/>
          </rPr>
          <t xml:space="preserve">Sch. C-1
</t>
        </r>
      </text>
    </comment>
    <comment ref="F616" authorId="2">
      <text>
        <r>
          <rPr>
            <b/>
            <sz val="8"/>
            <color indexed="81"/>
            <rFont val="Tahoma"/>
            <family val="2"/>
          </rPr>
          <t>t61190:</t>
        </r>
        <r>
          <rPr>
            <sz val="8"/>
            <color indexed="81"/>
            <rFont val="Tahoma"/>
            <family val="2"/>
          </rPr>
          <t xml:space="preserve">
Source; SFR Schedule E1 Reverse sign
 </t>
        </r>
      </text>
    </comment>
    <comment ref="L616" authorId="2">
      <text>
        <r>
          <rPr>
            <b/>
            <sz val="8"/>
            <color indexed="81"/>
            <rFont val="Tahoma"/>
            <family val="2"/>
          </rPr>
          <t>t61190:</t>
        </r>
        <r>
          <rPr>
            <sz val="8"/>
            <color indexed="81"/>
            <rFont val="Tahoma"/>
            <family val="2"/>
          </rPr>
          <t xml:space="preserve">
Source; SFR Schedule E1 Reverse sign
 </t>
        </r>
      </text>
    </comment>
    <comment ref="F620" authorId="0">
      <text>
        <r>
          <rPr>
            <b/>
            <sz val="9"/>
            <color indexed="81"/>
            <rFont val="Tahoma"/>
            <family val="2"/>
          </rPr>
          <t>Patten, Dana:</t>
        </r>
        <r>
          <rPr>
            <sz val="9"/>
            <color indexed="81"/>
            <rFont val="Tahoma"/>
            <family val="2"/>
          </rPr>
          <t xml:space="preserve">
opposite sign</t>
        </r>
      </text>
    </comment>
    <comment ref="L620" authorId="0">
      <text>
        <r>
          <rPr>
            <b/>
            <sz val="9"/>
            <color indexed="81"/>
            <rFont val="Tahoma"/>
            <family val="2"/>
          </rPr>
          <t>Patten, Dana:</t>
        </r>
        <r>
          <rPr>
            <sz val="9"/>
            <color indexed="81"/>
            <rFont val="Tahoma"/>
            <family val="2"/>
          </rPr>
          <t xml:space="preserve">
opposite sign</t>
        </r>
      </text>
    </comment>
    <comment ref="F622" authorId="0">
      <text>
        <r>
          <rPr>
            <b/>
            <sz val="9"/>
            <color indexed="81"/>
            <rFont val="Tahoma"/>
            <family val="2"/>
          </rPr>
          <t>Patten, Dana:</t>
        </r>
        <r>
          <rPr>
            <sz val="9"/>
            <color indexed="81"/>
            <rFont val="Tahoma"/>
            <family val="2"/>
          </rPr>
          <t xml:space="preserve">
opposite sign</t>
        </r>
      </text>
    </comment>
    <comment ref="L622" authorId="0">
      <text>
        <r>
          <rPr>
            <b/>
            <sz val="9"/>
            <color indexed="81"/>
            <rFont val="Tahoma"/>
            <family val="2"/>
          </rPr>
          <t>Patten, Dana:</t>
        </r>
        <r>
          <rPr>
            <sz val="9"/>
            <color indexed="81"/>
            <rFont val="Tahoma"/>
            <family val="2"/>
          </rPr>
          <t xml:space="preserve">
opposite sign</t>
        </r>
      </text>
    </comment>
    <comment ref="F630" authorId="1">
      <text>
        <r>
          <rPr>
            <sz val="10"/>
            <color indexed="81"/>
            <rFont val="Tahoma"/>
            <family val="2"/>
          </rPr>
          <t xml:space="preserve">Excess of Tax over Book (Unadjusted - Cell H26) less Excess of Tax over Book (Deferred FIT) times FIT
</t>
        </r>
      </text>
    </comment>
    <comment ref="L630" authorId="1">
      <text>
        <r>
          <rPr>
            <sz val="10"/>
            <color indexed="81"/>
            <rFont val="Tahoma"/>
            <family val="2"/>
          </rPr>
          <t xml:space="preserve">Excess of Tax over Book (Unadjusted - Cell H26) less Excess of Tax over Book (Deferred FIT) times FIT
</t>
        </r>
      </text>
    </comment>
    <comment ref="C658" authorId="0">
      <text>
        <r>
          <rPr>
            <b/>
            <sz val="9"/>
            <color indexed="81"/>
            <rFont val="Tahoma"/>
            <family val="2"/>
          </rPr>
          <t>Patten, Dana:</t>
        </r>
        <r>
          <rPr>
            <sz val="9"/>
            <color indexed="81"/>
            <rFont val="Tahoma"/>
            <family val="2"/>
          </rPr>
          <t xml:space="preserve">
Should equal Fed Income Tax</t>
        </r>
      </text>
    </comment>
    <comment ref="F851" authorId="1">
      <text>
        <r>
          <rPr>
            <sz val="10"/>
            <color indexed="81"/>
            <rFont val="Tahoma"/>
            <family val="2"/>
          </rPr>
          <t xml:space="preserve">Present Revenue from Sch. M, less miscellaneous revenue
</t>
        </r>
      </text>
    </comment>
    <comment ref="L851" authorId="1">
      <text>
        <r>
          <rPr>
            <sz val="10"/>
            <color indexed="81"/>
            <rFont val="Tahoma"/>
            <family val="2"/>
          </rPr>
          <t xml:space="preserve">Present Revenue from Sch. M, less miscellaneous revenue
</t>
        </r>
      </text>
    </comment>
    <comment ref="F852" authorId="1">
      <text>
        <r>
          <rPr>
            <sz val="10"/>
            <color indexed="81"/>
            <rFont val="Tahoma"/>
            <family val="2"/>
          </rPr>
          <t xml:space="preserve">Proposed Revenue from Sch. M, less miscellaneous revenue
</t>
        </r>
      </text>
    </comment>
    <comment ref="L852" authorId="1">
      <text>
        <r>
          <rPr>
            <sz val="10"/>
            <color indexed="81"/>
            <rFont val="Tahoma"/>
            <family val="2"/>
          </rPr>
          <t xml:space="preserve">Proposed Revenue from Sch. M, less miscellaneous revenue
</t>
        </r>
      </text>
    </comment>
  </commentList>
</comments>
</file>

<file path=xl/sharedStrings.xml><?xml version="1.0" encoding="utf-8"?>
<sst xmlns="http://schemas.openxmlformats.org/spreadsheetml/2006/main" count="1539" uniqueCount="712">
  <si>
    <t>REXC</t>
  </si>
  <si>
    <t>TOTAL</t>
  </si>
  <si>
    <t>NP29</t>
  </si>
  <si>
    <t xml:space="preserve"> </t>
  </si>
  <si>
    <t xml:space="preserve">RENT ASSOC. CO. </t>
  </si>
  <si>
    <t>A357</t>
  </si>
  <si>
    <t>MISC. REV. - SALE OF MATERIAL</t>
  </si>
  <si>
    <t>K301</t>
  </si>
  <si>
    <t>OTHER PROD ELECTRIC ASSC COS  489050</t>
  </si>
  <si>
    <t>UNCOLLECTIBLE EXPENSE</t>
  </si>
  <si>
    <t>INTERDEPARTMENTAL</t>
  </si>
  <si>
    <t>GOVERNMENTAL</t>
  </si>
  <si>
    <t>REVENUE NOT TO BE INCLUDED IN REVENUE TAX CALC</t>
  </si>
  <si>
    <t>K669</t>
  </si>
  <si>
    <t>Internal</t>
  </si>
  <si>
    <t>WTD RATIOS</t>
  </si>
  <si>
    <t>WAGES &amp; SALARIES (K600-K639)</t>
  </si>
  <si>
    <t>CS09</t>
  </si>
  <si>
    <t>WTD TOTAL COST OF SERVICE</t>
  </si>
  <si>
    <t>TOTAL COST OF SERVICE</t>
  </si>
  <si>
    <t>OP69</t>
  </si>
  <si>
    <t>WTD OP EXP EX IT &amp; REV RATIOS</t>
  </si>
  <si>
    <t>L599</t>
  </si>
  <si>
    <t>WTD OTHER TAX RATIOS</t>
  </si>
  <si>
    <t>L589</t>
  </si>
  <si>
    <t>WTD MISC TAX RATIOS</t>
  </si>
  <si>
    <t>L529</t>
  </si>
  <si>
    <t>WTD R. E. &amp; PROP TAX RATIOS</t>
  </si>
  <si>
    <t>OTHER TAXES &amp; MISC EXPENSES</t>
  </si>
  <si>
    <t>DE49</t>
  </si>
  <si>
    <t>WTD TOT DEPREC EXP RATIOS</t>
  </si>
  <si>
    <t>C489</t>
  </si>
  <si>
    <t>WTD COM &amp; OTHER DEP EXP RATIOS</t>
  </si>
  <si>
    <t>G489</t>
  </si>
  <si>
    <t>WTD GENERAL DEPREC EXP RATIOS</t>
  </si>
  <si>
    <t>D489</t>
  </si>
  <si>
    <t>WTD DIST DEPREC RATIOS</t>
  </si>
  <si>
    <t>T489</t>
  </si>
  <si>
    <t>WTD TRANS DEPREC RATIOS</t>
  </si>
  <si>
    <t>P489</t>
  </si>
  <si>
    <t>WTD PRODUCTION DEPREC RATIOS</t>
  </si>
  <si>
    <t>DEPRECIATION EXPENSES</t>
  </si>
  <si>
    <t>WTD A&amp;G EXP RATIOS</t>
  </si>
  <si>
    <t>A315</t>
  </si>
  <si>
    <t>WTD A&amp;G EXPENSE UNADJUSTED</t>
  </si>
  <si>
    <t>A312</t>
  </si>
  <si>
    <t>WTD SALES A&amp;G EXP RATIOS</t>
  </si>
  <si>
    <t>A310</t>
  </si>
  <si>
    <t>WTD CUST SERV &amp; INFO A&amp;G  EXP RATIOS</t>
  </si>
  <si>
    <t>A308</t>
  </si>
  <si>
    <t>WTD CUST ACCT A&amp;G EXP RATIOS</t>
  </si>
  <si>
    <t>A306</t>
  </si>
  <si>
    <t>WTD DIST A&amp;G EXP RATIOS</t>
  </si>
  <si>
    <t>A304</t>
  </si>
  <si>
    <t>WTD TRANS A&amp;G EXP RATIOS</t>
  </si>
  <si>
    <t>A302</t>
  </si>
  <si>
    <t>WTD PROD ENERGY A&amp;G EXP RATIOS</t>
  </si>
  <si>
    <t>A300</t>
  </si>
  <si>
    <t>WTD PROD DEMAND A&amp;G EXP RATIOS</t>
  </si>
  <si>
    <t>A &amp; G EXPENSES</t>
  </si>
  <si>
    <t>OM39</t>
  </si>
  <si>
    <t>WTD O&amp;M EXP RATIOS</t>
  </si>
  <si>
    <t>S319</t>
  </si>
  <si>
    <t>WTD SALES O&amp;M EXP RATIOS</t>
  </si>
  <si>
    <t>C331</t>
  </si>
  <si>
    <t>WTD CUST SERV &amp; INFO O&amp;M  EXP RATIOS</t>
  </si>
  <si>
    <t>C319</t>
  </si>
  <si>
    <t>WTD CUST ACCT O&amp;M EXP RATIOS</t>
  </si>
  <si>
    <t>C311</t>
  </si>
  <si>
    <t>WTD UNCOLLECTIBLE ACCOUNT O&amp;M</t>
  </si>
  <si>
    <t>D349</t>
  </si>
  <si>
    <t>WTD DIST O&amp;M EXP RATIOS</t>
  </si>
  <si>
    <t>T349</t>
  </si>
  <si>
    <t>WTD TRANS O&amp;M EXP RATIOS</t>
  </si>
  <si>
    <t>P459</t>
  </si>
  <si>
    <t>WTD TOTAL PROD O&amp;M EXP RATIOS</t>
  </si>
  <si>
    <t>E349</t>
  </si>
  <si>
    <t>WTD PROD ENERGY O&amp;M EXP RATIOS</t>
  </si>
  <si>
    <t>P349</t>
  </si>
  <si>
    <t>WTD PROD DEMAND O&amp;M EXP RATIOS</t>
  </si>
  <si>
    <t>WEIGHTED O &amp; M EXPENSE RATIOS</t>
  </si>
  <si>
    <t>Schedule 12.2</t>
  </si>
  <si>
    <t>ELECTRIC</t>
  </si>
  <si>
    <t>OTHER</t>
  </si>
  <si>
    <t>AT ISSUE</t>
  </si>
  <si>
    <t>ALLO</t>
  </si>
  <si>
    <t>SOURCE</t>
  </si>
  <si>
    <t>ALLOCATORS</t>
  </si>
  <si>
    <t>NO.</t>
  </si>
  <si>
    <t>ALL</t>
  </si>
  <si>
    <t>FUNCTIONAL</t>
  </si>
  <si>
    <t>LINE</t>
  </si>
  <si>
    <t>CW29</t>
  </si>
  <si>
    <t>WTD CWIP RATIO</t>
  </si>
  <si>
    <t>RB99</t>
  </si>
  <si>
    <t>WTD TOTAL RATE BASE RATIOS</t>
  </si>
  <si>
    <t>RB29</t>
  </si>
  <si>
    <t>WTD NET OCRB RATIOS</t>
  </si>
  <si>
    <t>RATE BASE</t>
  </si>
  <si>
    <t>WC79</t>
  </si>
  <si>
    <t>WTD TOTAL WRKNG CAP RATIOS</t>
  </si>
  <si>
    <t>W749</t>
  </si>
  <si>
    <t>WTD TOTAL MISC WRKNG CAP RATIO</t>
  </si>
  <si>
    <t>W719</t>
  </si>
  <si>
    <t>WTD TOTAL WORKING CASH RATIOS</t>
  </si>
  <si>
    <t>W689</t>
  </si>
  <si>
    <t>WTD PREPAYMENTS RATIOS</t>
  </si>
  <si>
    <t>W669</t>
  </si>
  <si>
    <t>WTD MATERIAL &amp; SUPPLY RATIOS</t>
  </si>
  <si>
    <t>WORKING CAPITAL</t>
  </si>
  <si>
    <t>WTD NET PLANT RATIOS</t>
  </si>
  <si>
    <t>C229</t>
  </si>
  <si>
    <t>WTD NET C &amp; O PLANT RATIOS</t>
  </si>
  <si>
    <t>G229</t>
  </si>
  <si>
    <t>WTD NET G &amp; I PLT RATIOS</t>
  </si>
  <si>
    <t>NT29</t>
  </si>
  <si>
    <t>WTD NET TRANS &amp; DIST RATIOS</t>
  </si>
  <si>
    <t>D249</t>
  </si>
  <si>
    <t>WTD NET TOTAL DIST PLANT RATIOS</t>
  </si>
  <si>
    <t>PL49</t>
  </si>
  <si>
    <t>WTD NET DIST LINES  - POLES, TOWERS &amp; FIXTURES</t>
  </si>
  <si>
    <t>T229</t>
  </si>
  <si>
    <t>WTD NET TRANS PLANT RATIOS</t>
  </si>
  <si>
    <t>P229</t>
  </si>
  <si>
    <t>WTD NET PROD PLANT RATIOS</t>
  </si>
  <si>
    <t>NET ELECTRIC PLANT</t>
  </si>
  <si>
    <t>DR19</t>
  </si>
  <si>
    <t>WTD TOTAL DEPRC RES RATIOS</t>
  </si>
  <si>
    <t>GP19</t>
  </si>
  <si>
    <t>WTD GROSS PLANT RATIOS</t>
  </si>
  <si>
    <t>C129</t>
  </si>
  <si>
    <t>WTD GROSS C &amp; O PLANT RATIOS</t>
  </si>
  <si>
    <t>G129</t>
  </si>
  <si>
    <t>WTD GROSS G &amp; I PLT RATIOS</t>
  </si>
  <si>
    <t>PD29</t>
  </si>
  <si>
    <t>WTD GROSS PTD PLT RATIOS</t>
  </si>
  <si>
    <t>TD29</t>
  </si>
  <si>
    <t>WTD GROSS TRANS &amp; DIST RATIOS</t>
  </si>
  <si>
    <t>D149</t>
  </si>
  <si>
    <t>WTD GROSS DIST PLANT RATIOS</t>
  </si>
  <si>
    <t>PT29</t>
  </si>
  <si>
    <t>WTD GROSS P &amp; T PLT RATIOS</t>
  </si>
  <si>
    <t>T129</t>
  </si>
  <si>
    <t>WTD GROSS TRANS PLANT RATIOS</t>
  </si>
  <si>
    <t>P129</t>
  </si>
  <si>
    <t>WTD GROSS PROD PLANT RATIOS</t>
  </si>
  <si>
    <t>GROSS ELECTRIC PLANT IN SERVICE</t>
  </si>
  <si>
    <t>WEIGHTED RATIOS</t>
  </si>
  <si>
    <t>K902</t>
  </si>
  <si>
    <t>RATIO TO TOTAL ELECTRIC</t>
  </si>
  <si>
    <t>PROPOSED REVENUES</t>
  </si>
  <si>
    <t>K901</t>
  </si>
  <si>
    <t>PRESENT REVENUES</t>
  </si>
  <si>
    <t>Schedule 12.1</t>
  </si>
  <si>
    <t>R602</t>
  </si>
  <si>
    <t>R600</t>
  </si>
  <si>
    <t>K302</t>
  </si>
  <si>
    <t>External</t>
  </si>
  <si>
    <t>KWH SALES LESS RTP</t>
  </si>
  <si>
    <t>K411</t>
  </si>
  <si>
    <t>UNCOLLECTIBLE ACCOUNT 904</t>
  </si>
  <si>
    <t>K409</t>
  </si>
  <si>
    <t>WEIGHTED CUSTOMER</t>
  </si>
  <si>
    <t>K407</t>
  </si>
  <si>
    <t>METERS</t>
  </si>
  <si>
    <t>K405</t>
  </si>
  <si>
    <t>DISTRIBUTION CUSTOMERS</t>
  </si>
  <si>
    <t>K401</t>
  </si>
  <si>
    <t>ASSIGN 100% TO LIGHTING</t>
  </si>
  <si>
    <t>K307</t>
  </si>
  <si>
    <t>ASSIGN 100% TO RESIDENTIAL</t>
  </si>
  <si>
    <t>K305</t>
  </si>
  <si>
    <t>TOTAL KWH LESS LIGHTING</t>
  </si>
  <si>
    <t>K303</t>
  </si>
  <si>
    <t>DISTRIBUTION KWH</t>
  </si>
  <si>
    <t>TOTAL KWH</t>
  </si>
  <si>
    <t>K217</t>
  </si>
  <si>
    <t>WEIGHTED CUSTOMER SERVICE</t>
  </si>
  <si>
    <t>K215</t>
  </si>
  <si>
    <t>TOTAL DIVERSIFIED CLASS DEMANDS</t>
  </si>
  <si>
    <t>K209</t>
  </si>
  <si>
    <t>GROSS DISTRIBUTION PLANT EXCL. CCNC</t>
  </si>
  <si>
    <t>K206</t>
  </si>
  <si>
    <t>DISTRIBUTION LINE - OVERHEAD - SECONDARY</t>
  </si>
  <si>
    <t>K205</t>
  </si>
  <si>
    <t>DISTRIBUTION LINE - OVERHEAD - PRIMARY</t>
  </si>
  <si>
    <t>K203</t>
  </si>
  <si>
    <t xml:space="preserve">DISTRIBUTION KW (NON-COIN PEAK) </t>
  </si>
  <si>
    <t>K202</t>
  </si>
  <si>
    <t>TOTAL KW (12 COIN PEAK) - TRANSMISSION</t>
  </si>
  <si>
    <t>K201</t>
  </si>
  <si>
    <t>TOTAL KW (12 COIN PEAK) - PRODUCTION</t>
  </si>
  <si>
    <t>DEMAND ENERGY &amp; SPEC. ASSIGN</t>
  </si>
  <si>
    <t>Schedule 12</t>
  </si>
  <si>
    <t>REVENUE TAX RATE</t>
  </si>
  <si>
    <t>STATE INCOME TAX RATE</t>
  </si>
  <si>
    <t>Reduce corporate income tax to 21%</t>
  </si>
  <si>
    <t>FEDERAL INCOME TAX RATE</t>
  </si>
  <si>
    <t>SHORT TERM DEBT COST</t>
  </si>
  <si>
    <t>TAX RATES AND SPECIAL FACTORS</t>
  </si>
  <si>
    <t xml:space="preserve">  TOT RATE OF RETURN ALLOWABLE</t>
  </si>
  <si>
    <t>UNAMORTIZED DISCOUNT</t>
  </si>
  <si>
    <t>SHORT TERM DEBT</t>
  </si>
  <si>
    <t>COMMON STOCK</t>
  </si>
  <si>
    <t>PREFERRED STOCK</t>
  </si>
  <si>
    <t>LONG TERM DEBT</t>
  </si>
  <si>
    <t xml:space="preserve"> WEIGHTED COST OF CAPITAL</t>
  </si>
  <si>
    <t xml:space="preserve"> COST OF CAPITAL</t>
  </si>
  <si>
    <t xml:space="preserve">  TOTAL</t>
  </si>
  <si>
    <t>RATIO</t>
  </si>
  <si>
    <t xml:space="preserve"> CAPITALIZATION AMOUNTS</t>
  </si>
  <si>
    <t>RATE OF RETURN</t>
  </si>
  <si>
    <t>Schedule 11</t>
  </si>
  <si>
    <t>ROR, TAX RATES &amp; SPEC FACTORS</t>
  </si>
  <si>
    <t>EXCESS RETURN</t>
  </si>
  <si>
    <t>EXCESS TAX</t>
  </si>
  <si>
    <t>COMPOSITE TAX RATE</t>
  </si>
  <si>
    <t>EXCESS REVENUES</t>
  </si>
  <si>
    <t>TOTAL ELECTRIC COST OF SERVICE</t>
  </si>
  <si>
    <t>decreased cost of service</t>
  </si>
  <si>
    <t xml:space="preserve">  TOTAL ELECTRIC COST OF SERVICE</t>
  </si>
  <si>
    <t>AFUDC OFFSET</t>
  </si>
  <si>
    <t>TOTAL REVENUE TAX</t>
  </si>
  <si>
    <t>REVENUE TAX ON COST OF SERVICE</t>
  </si>
  <si>
    <t>REVENUE TAX ON OTHER OPER. REVS</t>
  </si>
  <si>
    <t>REVENUE TAX FACTOR</t>
  </si>
  <si>
    <t>OTHER OPERATING REVS TO BE TAXED</t>
  </si>
  <si>
    <t>LESS: REVS EXCL FROM REV TAX CALC</t>
  </si>
  <si>
    <t>TOTAL OTHER OPERATING REVENUES</t>
  </si>
  <si>
    <t xml:space="preserve">  SUBTOTAL B</t>
  </si>
  <si>
    <t>NET STATE INCOME TAX ALLOWABLE</t>
  </si>
  <si>
    <t>NET FED INCOME TAX ALLOWABLE</t>
  </si>
  <si>
    <t>RETURN ON CAPITALIZATION</t>
  </si>
  <si>
    <t>TOTAL OP EXP EXC INC &amp; REV TAX</t>
  </si>
  <si>
    <t>COST OF SERVICE COMPUTATION</t>
  </si>
  <si>
    <t xml:space="preserve">  TOTAL OTHER OPERATING REVS</t>
  </si>
  <si>
    <t>FIXED BILL PREMIUM</t>
  </si>
  <si>
    <t>OTHER TRANSMISSION REVENUES</t>
  </si>
  <si>
    <t>PJM REACTIVE REVENUE</t>
  </si>
  <si>
    <t>TRANSMISSION CHARGE PTP</t>
  </si>
  <si>
    <t>RENTS</t>
  </si>
  <si>
    <t>POLE &amp; LINE ATTACHMENTS</t>
  </si>
  <si>
    <t>MISC SERVICE REVENUE</t>
  </si>
  <si>
    <t>OTHER OPERATING REVENUES</t>
  </si>
  <si>
    <t>Schedule 10</t>
  </si>
  <si>
    <t xml:space="preserve">  NET STATE INCOME TAX PAYABLE</t>
  </si>
  <si>
    <t>OTHER SIT ADJUSTMENTS</t>
  </si>
  <si>
    <t>PRELIMINARY STATE INCOME TAX</t>
  </si>
  <si>
    <t>STATE INCOME TAX PAYABLE</t>
  </si>
  <si>
    <t>due to lower base for SIT computation</t>
  </si>
  <si>
    <t xml:space="preserve">  NET STATE INC TAX ALLOWABLE</t>
  </si>
  <si>
    <t>TOTAL STATE INCOME TAX ADJ.</t>
  </si>
  <si>
    <t>SIT FACTOR K192/(1-K192)</t>
  </si>
  <si>
    <t xml:space="preserve">  BASE FOR SIT COMPUTATION</t>
  </si>
  <si>
    <t>TOTAL STATE INC TAX ADJ</t>
  </si>
  <si>
    <t>DEDUCTIONS IN ADD TO Y871</t>
  </si>
  <si>
    <t>NET FED. DED. AND ADDITIONS</t>
  </si>
  <si>
    <t>SUMMARY OF SIT CALCULATION</t>
  </si>
  <si>
    <t>INCOME TAX BASED ON RETURN</t>
  </si>
  <si>
    <t>TOTAL STATE INC TAX ADJUSTMENT</t>
  </si>
  <si>
    <t xml:space="preserve">  OTHER SIT ADJUSMENTS</t>
  </si>
  <si>
    <t>CURRENT YEAR PAYABLE ADJUSTMENT</t>
  </si>
  <si>
    <t xml:space="preserve">  TOT STATE PROV DEF IT (410 &amp; 411)</t>
  </si>
  <si>
    <t>OTHER DEFERRED INCOME TAXES - NET</t>
  </si>
  <si>
    <t>STATE PROV DEF INC TAX (410 &amp; 411)</t>
  </si>
  <si>
    <t>STATE INCOME TAX ADJUSTMENTS</t>
  </si>
  <si>
    <t xml:space="preserve">  DEDUCTIONS IN ADD TO Y871</t>
  </si>
  <si>
    <t>RESERVED FOR FUTURE USE</t>
  </si>
  <si>
    <t>KY TAXABLE INCOME ADJUSTMENT</t>
  </si>
  <si>
    <t>DEDUCTIONS IN ADDITION TO Y871</t>
  </si>
  <si>
    <t>Schedule 9.1</t>
  </si>
  <si>
    <t>DISTRIBUTION</t>
  </si>
  <si>
    <t>STORAGE</t>
  </si>
  <si>
    <t>PRODUCTION</t>
  </si>
  <si>
    <t>Allo</t>
  </si>
  <si>
    <t>STATE INCOME TAX BASED ON RETURN</t>
  </si>
  <si>
    <t xml:space="preserve">  NET FED INCOME TAX PAYABLE</t>
  </si>
  <si>
    <t>PRELIM FEDERAL INCOME TAX</t>
  </si>
  <si>
    <t>FEDERAL INCOME TAX PAYABLE</t>
  </si>
  <si>
    <t xml:space="preserve">  NET FED INCOME TAX ALLOWABLE</t>
  </si>
  <si>
    <t>TOTAL FEDERAL TAX ADJUSTMENTS</t>
  </si>
  <si>
    <t>due to lower FIT</t>
  </si>
  <si>
    <t>PRELIM FED INCOME TAX</t>
  </si>
  <si>
    <t>FIT FACTOR K190/(1-K190)</t>
  </si>
  <si>
    <t xml:space="preserve">  BASE FOR FIT COMPUATION</t>
  </si>
  <si>
    <t>TOTAL STATE PROV DEF IT (410 &amp; 411)</t>
  </si>
  <si>
    <t>NET DEDUCTIONS AND ADDITIONS</t>
  </si>
  <si>
    <t>FEDERAL INCOME TAX COMPUTATION</t>
  </si>
  <si>
    <t xml:space="preserve">  TOTAL FEDERAL TAX ADJUSTMENTS</t>
  </si>
  <si>
    <t>TOTAL AMORTIZED ITC &amp; OTHER FEDERAL TAX CREDITS</t>
  </si>
  <si>
    <t>TOTAL FED DEF IT (410 &amp; 411)</t>
  </si>
  <si>
    <t>PRELIMINARY SUMMARY</t>
  </si>
  <si>
    <t xml:space="preserve">  TOTAL OTHER FEDERAL TAX CREDITS</t>
  </si>
  <si>
    <t>R&amp;D CREDIT - SECTION 41</t>
  </si>
  <si>
    <t>FUEL TAX CREDIT</t>
  </si>
  <si>
    <t xml:space="preserve"> OTHER FEDERAL TAX CREDITS</t>
  </si>
  <si>
    <t xml:space="preserve">  TOTAL AMORTIZED ITC</t>
  </si>
  <si>
    <t>AMORTIZE ITC</t>
  </si>
  <si>
    <t xml:space="preserve"> AMORT INV TAX CREDIT</t>
  </si>
  <si>
    <t xml:space="preserve">  TOTAL FED DEF IT (410 &amp; 411)</t>
  </si>
  <si>
    <t>DIT ADJUSTMENT - FLOW-THROUGH</t>
  </si>
  <si>
    <t>DIT ADJUSTMENT - ARAM</t>
  </si>
  <si>
    <t>DIT ADJUSTMENT - S/L DEPRECIATION</t>
  </si>
  <si>
    <t>AMORT OF DEFERRED MERGER COST</t>
  </si>
  <si>
    <t>reduced by 40% to reflect reduction in FIT rate</t>
  </si>
  <si>
    <t>DEFERRED INCOME TAXES - NET</t>
  </si>
  <si>
    <t xml:space="preserve"> FED DEFERRED INCOME TAX (410 &amp; 411)</t>
  </si>
  <si>
    <t xml:space="preserve">  TOTAL OTHER DEDUCTIONS</t>
  </si>
  <si>
    <t>TEMPORARY DIFFERENCES</t>
  </si>
  <si>
    <t>PERMANENT DIFFERENCES</t>
  </si>
  <si>
    <t>DEPREC EXCESS TAX-BOOK</t>
  </si>
  <si>
    <t xml:space="preserve"> OTHER DEDUCTIONS</t>
  </si>
  <si>
    <t xml:space="preserve">  TOTAL INTEREST EXPENSE</t>
  </si>
  <si>
    <t>AUTO PROC INTEREST DED</t>
  </si>
  <si>
    <t xml:space="preserve"> AUTOMATIC INTEREST CALCULATION</t>
  </si>
  <si>
    <t>FEDERAL INCOME TAX DEDUCTIONS</t>
  </si>
  <si>
    <t>Schedule 9</t>
  </si>
  <si>
    <t>FEDERAL INCOME TAX BASED ON RETURN</t>
  </si>
  <si>
    <t xml:space="preserve">  TOTAL OPER EXP EXCL INCOME &amp; REV TAX</t>
  </si>
  <si>
    <t>TOTAL OTHER TAX &amp; MISC EXPENSE</t>
  </si>
  <si>
    <t>TOTAL DEPRECIATION EXPENSE</t>
  </si>
  <si>
    <t>TOTAL O&amp;M EXPENSE</t>
  </si>
  <si>
    <t xml:space="preserve">  TOTAL MISCELLANEOUS EXPENSES</t>
  </si>
  <si>
    <t>PSC MAINT. EXP ON INCREASE</t>
  </si>
  <si>
    <t xml:space="preserve"> MISCELLANEOUS EXPENSES</t>
  </si>
  <si>
    <t xml:space="preserve">  TOTAL MISCELLANEOUS TAXES</t>
  </si>
  <si>
    <t>ELIMINATE MISCELLANEOUS</t>
  </si>
  <si>
    <t>FRANCHISE &amp; LICENSE</t>
  </si>
  <si>
    <t xml:space="preserve">ELIMINATE DSM </t>
  </si>
  <si>
    <t xml:space="preserve">PAYROLL </t>
  </si>
  <si>
    <t xml:space="preserve"> MISCELLANEOUS TAXES</t>
  </si>
  <si>
    <t xml:space="preserve">  TOTAL REAL ESTATE &amp; PROPERTY TAX</t>
  </si>
  <si>
    <t>ANNUALIZE PROPERTY TAX</t>
  </si>
  <si>
    <t>REAL ESTATE &amp; PROPERTY TAX</t>
  </si>
  <si>
    <t xml:space="preserve"> REAL ESTATE &amp; PROPERTY TAX</t>
  </si>
  <si>
    <t>TAXES OTHER THAN INC &amp; REV</t>
  </si>
  <si>
    <t>Schedule 8</t>
  </si>
  <si>
    <t xml:space="preserve">  TOTAL COM &amp; OTHER DEPREC EXP.</t>
  </si>
  <si>
    <t>COMMON DEPRECIATION</t>
  </si>
  <si>
    <t>COMMON AND OTHER DEPRECIATION</t>
  </si>
  <si>
    <t xml:space="preserve">  TOTAL GENERAL DEPREC EXP.</t>
  </si>
  <si>
    <t>GENERAL DEPRECIATION</t>
  </si>
  <si>
    <t xml:space="preserve">  TOTAL DIST. DEPREC EXP.</t>
  </si>
  <si>
    <t>DISTRIBUTION DEPRECIATION</t>
  </si>
  <si>
    <t xml:space="preserve">  TOTAL TRANSMISSION DEP. EXP.</t>
  </si>
  <si>
    <t>TRANSMISSION DEPRECIATION</t>
  </si>
  <si>
    <t xml:space="preserve">  TOTAL PRODUCTION DEPREC EXP.</t>
  </si>
  <si>
    <t>PRODUCTION DEPRECIATION</t>
  </si>
  <si>
    <t>Schedule 7</t>
  </si>
  <si>
    <t>DEPRECIATION EXPENSE</t>
  </si>
  <si>
    <t>TOTAL O &amp; M EXPENSE</t>
  </si>
  <si>
    <t>TOTAL ADMIN. &amp; GENERAL</t>
  </si>
  <si>
    <t>AMORTIZATION OF DEFERRED EXPENSES</t>
  </si>
  <si>
    <t>AMORTIZATION OF DEFERRAL ASSET</t>
  </si>
  <si>
    <t>ELIMINATE INCENTIVE COMPENSATION ADJUSTMENT</t>
  </si>
  <si>
    <t>ELIMINATE PJM-MISO</t>
  </si>
  <si>
    <t>CARBON MANAGEMENT</t>
  </si>
  <si>
    <t>ANNUALIZE KYPSC MAINT TAX</t>
  </si>
  <si>
    <t>ELIMINATE MERGER COSTS AND CREDITS</t>
  </si>
  <si>
    <t>ELIMINATE VOP EXPENSES</t>
  </si>
  <si>
    <t>INJURIES AND DAMAGES</t>
  </si>
  <si>
    <t>DSM DEFERRAL - ELECTRIC</t>
  </si>
  <si>
    <t>ELIMINATE NON JURIS REG COM EXP</t>
  </si>
  <si>
    <t>AMI BENEFIT LEVELIZATION</t>
  </si>
  <si>
    <t>ELIMINATE MISCELLANEOUS EXPENSES ADJUSTMENT</t>
  </si>
  <si>
    <t>RATE CASE EXPENSE ADJUSTMENT</t>
  </si>
  <si>
    <t>TOT ADMIN &amp; GEN LESS REG EXP</t>
  </si>
  <si>
    <t>SALES</t>
  </si>
  <si>
    <t>CUSTOMER SERVICE &amp; INFORMATION</t>
  </si>
  <si>
    <t>CUSTOMER ACCOUNTING</t>
  </si>
  <si>
    <t>TRANSMISSION</t>
  </si>
  <si>
    <t>PRODUCTION - ENERGY RELATED</t>
  </si>
  <si>
    <t>PRODUCTION - DEMAND RELATED</t>
  </si>
  <si>
    <t xml:space="preserve">ADMINISTRATIVE &amp; GENERAL </t>
  </si>
  <si>
    <t>TOTAL SALES EXPENSE</t>
  </si>
  <si>
    <t>SALES EXPENSE</t>
  </si>
  <si>
    <t>TOTAL CUSTOMER SERV. &amp; INFO.</t>
  </si>
  <si>
    <t>INFORMATIONAL &amp; INSTRUCTIONAL ADV</t>
  </si>
  <si>
    <t>TOTAL CUST SERVICE &amp; INFO</t>
  </si>
  <si>
    <t>Schedule 6.1</t>
  </si>
  <si>
    <t>O&amp;M EXPENSES</t>
  </si>
  <si>
    <t xml:space="preserve">  TOTAL CUSTOMER ACCT EXPENSE</t>
  </si>
  <si>
    <t>ELIMINATE MISC EXPENSE</t>
  </si>
  <si>
    <t>SALE OF A/R</t>
  </si>
  <si>
    <t>ELIMINATE REV &amp; EXP - DSM RIDER</t>
  </si>
  <si>
    <t>UNCOLLECTIBLE EXP ADJUSTMENT</t>
  </si>
  <si>
    <t>METER READING</t>
  </si>
  <si>
    <t>UNCOLLECTIBLE EXP</t>
  </si>
  <si>
    <t>CUSTOMER ACCOUNTING EXPENSE</t>
  </si>
  <si>
    <t xml:space="preserve">  TOTAL DISTRIBUTION O &amp; M</t>
  </si>
  <si>
    <t>AFFILIATED COMPANY RENTS ADJUSTMENT</t>
  </si>
  <si>
    <t>MISCELLANEOUS EXPENSES ADJUSTMENT</t>
  </si>
  <si>
    <t>OTHER OPERATIONS</t>
  </si>
  <si>
    <t>STREET LIGHTING AND SIGNAL SYSTEMS</t>
  </si>
  <si>
    <t>LOAD DISPATCH</t>
  </si>
  <si>
    <t>OTHER MAINTENANCE</t>
  </si>
  <si>
    <t>TRANSFORMERS CUSTOMER RELATED</t>
  </si>
  <si>
    <t>TRANSFORMERS DEMAND RELATED</t>
  </si>
  <si>
    <t>UNDERGROUND LINES - SECONDARY / CUSTOMER</t>
  </si>
  <si>
    <t>UNDERGROUND LINES - SECONDARY / DEMAND</t>
  </si>
  <si>
    <t>UNDERGROUND LINES - PRIMARY / CUSTOMER</t>
  </si>
  <si>
    <t>UNDERGROUND LINES - PRIMARY / DEMAND</t>
  </si>
  <si>
    <t>OVERHEAD LINES - SECONDARY / CUSTOMER</t>
  </si>
  <si>
    <t>OVERHEAD LINES - SECONDARY / DEMAND</t>
  </si>
  <si>
    <t>OVERHEAD LINES - PRIMARY / CUSTOMER</t>
  </si>
  <si>
    <t>OVERHEAD LINES - PRIMARY / DEMAND</t>
  </si>
  <si>
    <t>POLES, TOWERS &amp; FIXTURES</t>
  </si>
  <si>
    <t>SUBSTATIONS</t>
  </si>
  <si>
    <t>DISTRIBUTION O &amp; M</t>
  </si>
  <si>
    <t>TOTAL REGIONAL MARKET O&amp;M</t>
  </si>
  <si>
    <t>MARKET FACILITATION - MONITORING &amp; COMPLIANCE</t>
  </si>
  <si>
    <t>REGIONAL MARKET O&amp;M</t>
  </si>
  <si>
    <t xml:space="preserve">  TOTAL TRANSMISSION O &amp; M</t>
  </si>
  <si>
    <t>NETWORK SERVICE RATES ADJUSTMENT</t>
  </si>
  <si>
    <t>MISCELLANEOUS ADJUSTMENTS</t>
  </si>
  <si>
    <t>OTHER TRANSMISSION</t>
  </si>
  <si>
    <t>TRANSFORMER LEASE PAYMENTS</t>
  </si>
  <si>
    <t>TRANSMISSION O &amp; M</t>
  </si>
  <si>
    <t>TOTAL PRODUCTION O&amp;M</t>
  </si>
  <si>
    <t xml:space="preserve">  TOTAL DEMAND REL &amp; OTH PROD O&amp;M </t>
  </si>
  <si>
    <t>OTHER PRODUCTION EXPENSES - OPERATIONS</t>
  </si>
  <si>
    <t>DEMAND RELATED &amp; OTHER PROD O&amp;M</t>
  </si>
  <si>
    <t xml:space="preserve">  TOTAL ENERGY RELATED</t>
  </si>
  <si>
    <t>MISO TRANSMISSION CHARGES - ACCT 555</t>
  </si>
  <si>
    <t>OTHER PRODUCTION EXPENSE - MAINTENANCE</t>
  </si>
  <si>
    <t>ELIMINATE EMISSION ALLOW &amp; OTHER VAR COST</t>
  </si>
  <si>
    <t>EMISSION ALLOWANCES</t>
  </si>
  <si>
    <t>FUEL AND PURCHASED POWER ADJUSTMENT</t>
  </si>
  <si>
    <t>FUEL</t>
  </si>
  <si>
    <t>ENERGY RELATED PRODUCTION O&amp;M</t>
  </si>
  <si>
    <t>PRODUCTION O&amp;M</t>
  </si>
  <si>
    <t>Schedule 6</t>
  </si>
  <si>
    <t>TOTAL RATE OF RETURN ALLOWABLE</t>
  </si>
  <si>
    <t>CAPITALIZATION ALLOCATED TO ELECTRIC OPERATIONS</t>
  </si>
  <si>
    <t>RETURN ON RATE BASE</t>
  </si>
  <si>
    <t xml:space="preserve">  TOTAL RATE BASE</t>
  </si>
  <si>
    <t>TOTAL RATE BASE ADJUSTMENTS</t>
  </si>
  <si>
    <t>NET ELECTRIC PLANT IN SERVICE</t>
  </si>
  <si>
    <t>RATE BASE CALCULATION</t>
  </si>
  <si>
    <t xml:space="preserve">  TOTAL RATE BASE ADJUSTMENTS</t>
  </si>
  <si>
    <t>TOTAL WORKING CAPITAL</t>
  </si>
  <si>
    <t>TOTAL OTHER ACCUMULATED DEFERRED INCOME TAXES</t>
  </si>
  <si>
    <t>TOTAL ACCUMULATED DEFERRED INCOME TAXES</t>
  </si>
  <si>
    <t xml:space="preserve">  TOTAL MISC WORK CAPITAL</t>
  </si>
  <si>
    <t>PIPP UNCOLLECTIBLES</t>
  </si>
  <si>
    <t>MISCELLANEOUS WORKING CAPITAL</t>
  </si>
  <si>
    <t xml:space="preserve">  TOTAL WORKING CASH</t>
  </si>
  <si>
    <t>AUTO CALC (O&amp;M-ELECTRIC FUEL COST)/8</t>
  </si>
  <si>
    <t xml:space="preserve">  TOTAL PREPAYMENTS</t>
  </si>
  <si>
    <t>COLLATERAL ASSET</t>
  </si>
  <si>
    <t>EXCISE TAX</t>
  </si>
  <si>
    <t>INSURANCE GENERAL</t>
  </si>
  <si>
    <t>PREPAYMENTS</t>
  </si>
  <si>
    <t>TOTAL MATERIALS &amp; SUPPLIES</t>
  </si>
  <si>
    <t xml:space="preserve">  TOTAL PLANT MATS. &amp; SUPPLIES</t>
  </si>
  <si>
    <t>OTHER MATERIALS &amp; SUPPLIES</t>
  </si>
  <si>
    <t>PLANT MATERIALS &amp; SUPPLIES</t>
  </si>
  <si>
    <t>NET ORIGINAL COST RATE BASE</t>
  </si>
  <si>
    <t>Schedule 5.2</t>
  </si>
  <si>
    <t>TOTAL ADDITIVE RATE BASE ADJUSTMENTS</t>
  </si>
  <si>
    <t>TOTAL CONSTRUCTION WORK IN PROGRESS</t>
  </si>
  <si>
    <t>GENERAL</t>
  </si>
  <si>
    <t>COMMON</t>
  </si>
  <si>
    <t>CONSTRUCTION WORK IN PROGRESS</t>
  </si>
  <si>
    <t xml:space="preserve">  OTHER</t>
  </si>
  <si>
    <t xml:space="preserve"> OTHER</t>
  </si>
  <si>
    <t xml:space="preserve">  TOTAL ACCOUNT 190</t>
  </si>
  <si>
    <t>INJURIES &amp; DAMAGES</t>
  </si>
  <si>
    <t>METERS &amp; TRANSFORMERS</t>
  </si>
  <si>
    <t>DEMAND SIDE MANAGEMENT DEFERRAL</t>
  </si>
  <si>
    <t>VACATION PAY ACCRUALS</t>
  </si>
  <si>
    <t>ENVIRONMENTAL RESERVE</t>
  </si>
  <si>
    <t>401K INCENTIVE PLAN</t>
  </si>
  <si>
    <t>NET OPERATING LOSS</t>
  </si>
  <si>
    <t>DEFERRED TAX</t>
  </si>
  <si>
    <t>MISCELLANEOUS</t>
  </si>
  <si>
    <t>FEDERAL DEFERRED TAX RECEIVEABLE</t>
  </si>
  <si>
    <t>INCENTIVE PLAN</t>
  </si>
  <si>
    <t>SUPPLEMENTAL PENSION PLAN</t>
  </si>
  <si>
    <t>POST EMPLOYMENT BENEFITS - SFAS 112</t>
  </si>
  <si>
    <t>POST RETIREMENT BENEFITS - HEALTH CARE</t>
  </si>
  <si>
    <t xml:space="preserve">POST RETIREMENT BENEFITS </t>
  </si>
  <si>
    <t>RETIREMENT PLAN</t>
  </si>
  <si>
    <t>ARO CUMULATIVE EFFECT</t>
  </si>
  <si>
    <t>UNAMORTIZED DEBT PREMIUM</t>
  </si>
  <si>
    <t>ELECTRIC METERS</t>
  </si>
  <si>
    <t>CASH FLOW HEDGE</t>
  </si>
  <si>
    <t>UNCOLLECTIBLE ACCTS</t>
  </si>
  <si>
    <t xml:space="preserve"> ACCUM DEF INC TAXES (190)</t>
  </si>
  <si>
    <t>OTHER ACCUMULATED DEFERRED INCOME TAXES</t>
  </si>
  <si>
    <t>Schedule 5.1</t>
  </si>
  <si>
    <t>ADDITIVE RATE BASE ADJUSTMENTS</t>
  </si>
  <si>
    <t>TOTAL SUBTRACTIVE RATE BASE ADJUSTMENTS</t>
  </si>
  <si>
    <t xml:space="preserve">  TOTAL OTHER SUBTRACTIVE ADJUSTMENTS</t>
  </si>
  <si>
    <t>INVESTMENT TAX CREDIT</t>
  </si>
  <si>
    <t>POST RETIREMENT BENEFITS</t>
  </si>
  <si>
    <t>CUSTOMER SERVICE DEPOSITS</t>
  </si>
  <si>
    <t>POLLUTION CONTROL</t>
  </si>
  <si>
    <t xml:space="preserve"> OTHER ACCUMULATED DEFERRED INCOME TAXES</t>
  </si>
  <si>
    <t xml:space="preserve">  TOTAL ACCOUNT 283</t>
  </si>
  <si>
    <t>UNCOLLECTIBLE ACCOUNTS</t>
  </si>
  <si>
    <t>PENSION EXPENSE</t>
  </si>
  <si>
    <t>RATE CASE EXPENSE AMORT</t>
  </si>
  <si>
    <t>VACATION PAY ACCRUAL</t>
  </si>
  <si>
    <t>LOSS ON REACQUIRED DEBT</t>
  </si>
  <si>
    <t>POST IN-SERVICE CARRYING COSTS</t>
  </si>
  <si>
    <t>MERGER COSTS</t>
  </si>
  <si>
    <t>DEFERRED PLANT COSTS</t>
  </si>
  <si>
    <t>TRANSITION FROM MISO TO PJM</t>
  </si>
  <si>
    <t xml:space="preserve"> ACCUM DEF INC TAXES (283)</t>
  </si>
  <si>
    <t xml:space="preserve">  TOTAL ACCOUNT 282</t>
  </si>
  <si>
    <t>PLANT FAS 109</t>
  </si>
  <si>
    <t>NON-CASH OVERHEADS</t>
  </si>
  <si>
    <t>CASUALTY LOSS</t>
  </si>
  <si>
    <t>AFUDC IN DEBT</t>
  </si>
  <si>
    <t>TAX INTEREST, EXPENSING, DEPR.</t>
  </si>
  <si>
    <t>CONTRIB AID CONSTR</t>
  </si>
  <si>
    <t>LEASED METERS</t>
  </si>
  <si>
    <t>LIBERALIZED DEPRECIATION</t>
  </si>
  <si>
    <t xml:space="preserve"> ACCUM DEF INC TAXES (282)</t>
  </si>
  <si>
    <t>ACCUMULATED DEFERRED INCOME TAXES</t>
  </si>
  <si>
    <t>RATE BASE ADJUSTMENTS</t>
  </si>
  <si>
    <t>Schedule 5</t>
  </si>
  <si>
    <t>SUBTRACTIVE RATE BASE ADJUSTMENTS</t>
  </si>
  <si>
    <t xml:space="preserve">  COMMON &amp; OTHER PLANT IN SERVICE</t>
  </si>
  <si>
    <t>ADJUSTMENT</t>
  </si>
  <si>
    <t>DISTRIBUTION - CUSTOMER</t>
  </si>
  <si>
    <t>DISTRIBUTION - DEMAND</t>
  </si>
  <si>
    <t>PRODUCTION - ENERGY</t>
  </si>
  <si>
    <t>PRODUCTION - DEMAND</t>
  </si>
  <si>
    <t>COMMON &amp; OTHER PLANT</t>
  </si>
  <si>
    <t xml:space="preserve">  NET GENERAL &amp; INTANG PLANT</t>
  </si>
  <si>
    <t>GENERAL &amp; INTANGIBLE PLANT</t>
  </si>
  <si>
    <t>NET TRANS &amp; DIST PLANT</t>
  </si>
  <si>
    <t>NET PTD PLANT</t>
  </si>
  <si>
    <t xml:space="preserve">  NET DISTRIBUTION PLANT</t>
  </si>
  <si>
    <t>CONSTRUCTION NOT CLASSIFIED</t>
  </si>
  <si>
    <t xml:space="preserve">ADJUSTMENT  </t>
  </si>
  <si>
    <t>STREET LIGHTS</t>
  </si>
  <si>
    <t>SERVICES</t>
  </si>
  <si>
    <t>CONDUCTORS - UNDERGROUND / SECONDARY - CUSTOMER</t>
  </si>
  <si>
    <t>CONDUCTORS - UNDERGROUND / SECONDARY - DEMAND</t>
  </si>
  <si>
    <t>CONDUCTORS - UNDERGROUND / PRIMARY - CUSTOMER</t>
  </si>
  <si>
    <t>CONDUCTORS - UNDERGROUND / PRIMARY - DEMAND</t>
  </si>
  <si>
    <t>CONDUCTORS - OVERHEAD / SECONDARY - CUSTOMER</t>
  </si>
  <si>
    <t>CONDUCTORS - OVERHEAD / SECONDARY - DEMAND</t>
  </si>
  <si>
    <t>CONDUCTORS - OVERHEAD / PRIMARY - CUSTOMER</t>
  </si>
  <si>
    <t>CONDUCTORS - OVERHEAD / PRIMARY - DEMAND</t>
  </si>
  <si>
    <t>POLES, TOWERS  &amp; FIXTURES - SECONDARY - CUSTOMER</t>
  </si>
  <si>
    <t>POLES, TOWERS  &amp; FIXTURES - SECONDARY - DEMAND</t>
  </si>
  <si>
    <t>POLES, TOWERS  &amp; FIXTURES - PRIMARY - CUSTOMER</t>
  </si>
  <si>
    <t>POLES, TOWERS  &amp; FIXTURES - PRIMARY - DEMAND</t>
  </si>
  <si>
    <t>DISTRIBUTION PLANT</t>
  </si>
  <si>
    <t>NET PROD &amp; TRANS PLANT</t>
  </si>
  <si>
    <t xml:space="preserve">    NET TRANSMISSION PLANT</t>
  </si>
  <si>
    <t>MAIN STEP-UP TRANSFORMERS</t>
  </si>
  <si>
    <t>TRANSMISSION PLANT</t>
  </si>
  <si>
    <t xml:space="preserve">  NET PRODUCTION PLANT</t>
  </si>
  <si>
    <t>PRODUCTION OTHER</t>
  </si>
  <si>
    <t>PRODUCTION STEAM</t>
  </si>
  <si>
    <t>PRODUCTION PLANT</t>
  </si>
  <si>
    <t>Schedule 4</t>
  </si>
  <si>
    <t>TOTAL DEPRECIATION RESERVE</t>
  </si>
  <si>
    <t xml:space="preserve">  GENERAL &amp; INTANG PLANT</t>
  </si>
  <si>
    <t>TOTAL GROSS PTD PLANT DEPREC RESERVE</t>
  </si>
  <si>
    <t>TOTAL TRANS &amp; DIST DEPREC RESERVE</t>
  </si>
  <si>
    <t xml:space="preserve">  TOTAL DIST DEPREC RESERVE</t>
  </si>
  <si>
    <t>RWIP</t>
  </si>
  <si>
    <t>TOTAL PROD &amp; TRANS DEPREC RESERVE</t>
  </si>
  <si>
    <t xml:space="preserve">  TOTAL TRANS DEPREC RESERVE</t>
  </si>
  <si>
    <t xml:space="preserve">  TOTAL PROD DEPREC RESERVE</t>
  </si>
  <si>
    <t>Schedule 3</t>
  </si>
  <si>
    <t>DEPRECIATION RESERVE</t>
  </si>
  <si>
    <t xml:space="preserve">  GEN &amp; INTANG PLANT IN SERVICE</t>
  </si>
  <si>
    <t>TOTAL GROSS PTD PLANT</t>
  </si>
  <si>
    <t>TOTAL TRANS &amp; DIST PLANT</t>
  </si>
  <si>
    <t xml:space="preserve">  DISTRIBUTION PLANT IN SERVICE</t>
  </si>
  <si>
    <t>TOTAL PROD &amp; TRANS PLANT</t>
  </si>
  <si>
    <t xml:space="preserve">  TRANSMISSION PLANT IN SERVICE</t>
  </si>
  <si>
    <t xml:space="preserve">  PRODUCTION PLANT IN SERVICE</t>
  </si>
  <si>
    <t>Schedule 2</t>
  </si>
  <si>
    <t xml:space="preserve">  TOTAL OPERATING EXPENSE</t>
  </si>
  <si>
    <t>REVENUE TAX</t>
  </si>
  <si>
    <t>NET STATE INCOME TAX EXP ALLOWABLE</t>
  </si>
  <si>
    <t>NET FED INCOME TAX EXP ALLOWABLE</t>
  </si>
  <si>
    <t xml:space="preserve">  TOTAL OP EXP EXCLUDING INC &amp; REV TAX</t>
  </si>
  <si>
    <t>OPERATING EXPENSES</t>
  </si>
  <si>
    <t>NET INCOME COMPUTATION</t>
  </si>
  <si>
    <t>Schedule 1</t>
  </si>
  <si>
    <t>SUMMARY OF RESULTS</t>
  </si>
  <si>
    <t>Difference</t>
  </si>
  <si>
    <t>As Filed</t>
  </si>
  <si>
    <t>Adjustments</t>
  </si>
  <si>
    <t>Kroger Tax Related</t>
  </si>
  <si>
    <t>WITNESS RESPONSIBLE:</t>
  </si>
  <si>
    <t>FUNCTIONAL ELECTRIC COST OF SERVICE</t>
  </si>
  <si>
    <t>FR-16(7)(v)-1</t>
  </si>
  <si>
    <t>DUKE ENERGY KENTUCKY, INC.</t>
  </si>
  <si>
    <t xml:space="preserve">Work Paper FR-16(7)(v) </t>
  </si>
  <si>
    <t xml:space="preserve">ELECTRIC COST OF SERVICE STUDY </t>
  </si>
  <si>
    <t>Witness Responsible:</t>
  </si>
  <si>
    <t>CASE NO: 2017-00321</t>
  </si>
  <si>
    <t>James E. Ziolkowski</t>
  </si>
  <si>
    <t>CALCULATION PROPOSED REVENUE DISTRIBUTION</t>
  </si>
  <si>
    <t>Page 1</t>
  </si>
  <si>
    <t>REFLECTING A PROPOSED REVENUE SUBSIDY/EXCESS ELIMINATION COMPONENT</t>
  </si>
  <si>
    <t>Present</t>
  </si>
  <si>
    <t>Inter Class</t>
  </si>
  <si>
    <t>Jurisdictional</t>
  </si>
  <si>
    <t>Revenues</t>
  </si>
  <si>
    <t>Subsidization</t>
  </si>
  <si>
    <t>Rate Increase</t>
  </si>
  <si>
    <t>Proposed Revenues</t>
  </si>
  <si>
    <t>Proposed</t>
  </si>
  <si>
    <t>ROR</t>
  </si>
  <si>
    <t>Proposed Increase</t>
  </si>
  <si>
    <t>Electric</t>
  </si>
  <si>
    <t>Net Operating</t>
  </si>
  <si>
    <t>At Average</t>
  </si>
  <si>
    <t>Overcollected</t>
  </si>
  <si>
    <t>times</t>
  </si>
  <si>
    <t>(Allocated to class</t>
  </si>
  <si>
    <t>90.00%  Interclass</t>
  </si>
  <si>
    <t>Percent</t>
  </si>
  <si>
    <t>At Proposed</t>
  </si>
  <si>
    <t>Less</t>
  </si>
  <si>
    <t>Line</t>
  </si>
  <si>
    <t>Capitalization</t>
  </si>
  <si>
    <t>Income</t>
  </si>
  <si>
    <t>(Undercollected)</t>
  </si>
  <si>
    <t>based on Rate Base)</t>
  </si>
  <si>
    <t>Increase</t>
  </si>
  <si>
    <t>Rates</t>
  </si>
  <si>
    <t>(Subsidy) Excess</t>
  </si>
  <si>
    <t>No.</t>
  </si>
  <si>
    <t>Rate Class</t>
  </si>
  <si>
    <t>(A)</t>
  </si>
  <si>
    <t>(B)</t>
  </si>
  <si>
    <t>(C)</t>
  </si>
  <si>
    <t>(D)</t>
  </si>
  <si>
    <t>(E)</t>
  </si>
  <si>
    <t>(F)</t>
  </si>
  <si>
    <t>(G)</t>
  </si>
  <si>
    <t>(H)</t>
  </si>
  <si>
    <t>(I)</t>
  </si>
  <si>
    <t>(J)</t>
  </si>
  <si>
    <t>(K)</t>
  </si>
  <si>
    <t>(L)</t>
  </si>
  <si>
    <t>FR-16(7)(v)-14, page1</t>
  </si>
  <si>
    <t>Work Paper FR-16(7)(v), Page 2</t>
  </si>
  <si>
    <t>(C) / (A)</t>
  </si>
  <si>
    <t>(B) + (((D) Line 5 * (C))/(1-CompositeTaxRate))</t>
  </si>
  <si>
    <t>(B) - (E)</t>
  </si>
  <si>
    <t>(F) * 10.00%</t>
  </si>
  <si>
    <t>(H) Line 5 * ((A) / (A) Line 5)</t>
  </si>
  <si>
    <t>(B) - (G) + (H)</t>
  </si>
  <si>
    <t>((H) - (G)) / (B)</t>
  </si>
  <si>
    <t>((((H) - (G))*(1-CompositeTaxRate)+ (C)) / (A)</t>
  </si>
  <si>
    <t>(H) - (G)</t>
  </si>
  <si>
    <t>Rate RS</t>
  </si>
  <si>
    <t>Rate DS</t>
  </si>
  <si>
    <t>Rate GS-FL</t>
  </si>
  <si>
    <t>Rate EH</t>
  </si>
  <si>
    <t>Rate SP</t>
  </si>
  <si>
    <t>Rate DT - Secondary</t>
  </si>
  <si>
    <t>Rate DT-Primary</t>
  </si>
  <si>
    <t>Rate DP</t>
  </si>
  <si>
    <t>Rate TT</t>
  </si>
  <si>
    <t>Lighting</t>
  </si>
  <si>
    <t>Other - Water Pumping</t>
  </si>
  <si>
    <t xml:space="preserve">     Total</t>
  </si>
  <si>
    <t>Tax Complement</t>
  </si>
  <si>
    <t>Note: (E) Present Revenues at Average ROR is calculated by subtracting Present Revenue, grossed up for taxes, from Present Distribution Revenues and then adding Current Operating Income at the average rate of return, grossed-up for taxes.</t>
  </si>
  <si>
    <t xml:space="preserve">MISCELLANEOUS REVENUES: </t>
  </si>
  <si>
    <t>PJM AND TRANSMISSION</t>
  </si>
  <si>
    <t>BAD CHECK CHARGES</t>
  </si>
  <si>
    <t>RECONNECTION CHARGES</t>
  </si>
  <si>
    <t>POLE AND LINE ATTACHMENTS</t>
  </si>
  <si>
    <t>OTHER MISCELLANEOUS</t>
  </si>
  <si>
    <t>TOTAL MISC</t>
  </si>
  <si>
    <t/>
  </si>
  <si>
    <t xml:space="preserve">    Total Company</t>
  </si>
  <si>
    <t>DEK</t>
  </si>
  <si>
    <t xml:space="preserve">Interclass </t>
  </si>
  <si>
    <t>Paid</t>
  </si>
  <si>
    <t>(Received)</t>
  </si>
  <si>
    <t>% of Present Rev</t>
  </si>
  <si>
    <t>Total Subsidy as Filed</t>
  </si>
  <si>
    <t xml:space="preserve">Kroger </t>
  </si>
  <si>
    <t xml:space="preserve">DEK </t>
  </si>
  <si>
    <t>Adjusted Increase</t>
  </si>
  <si>
    <t>Adjusted</t>
  </si>
  <si>
    <t xml:space="preserve">Adjusted </t>
  </si>
  <si>
    <t xml:space="preserve">Apply 50% of </t>
  </si>
  <si>
    <t>after</t>
  </si>
  <si>
    <t>Tax Rate</t>
  </si>
  <si>
    <t xml:space="preserve">Percentage </t>
  </si>
  <si>
    <t>RR Reduction</t>
  </si>
  <si>
    <t xml:space="preserve">RR Reduction </t>
  </si>
  <si>
    <t>Tax Related</t>
  </si>
  <si>
    <t>After Tax Rate</t>
  </si>
  <si>
    <t>To All Classes</t>
  </si>
  <si>
    <t>To Subsidies</t>
  </si>
  <si>
    <t>RR Reductions</t>
  </si>
  <si>
    <t>To Filed Case</t>
  </si>
  <si>
    <t>Witness Responsible: Justin Bieber</t>
  </si>
  <si>
    <t>JDB Revenue Allocation Work Paper</t>
  </si>
  <si>
    <t>JDB Federal Income Tax Change Adjustments Work Paper</t>
  </si>
  <si>
    <t>Direct Impacts reducing FIT from 35% to 21%</t>
  </si>
  <si>
    <t xml:space="preserve">Rev Req Reduction </t>
  </si>
  <si>
    <t>Based off James E. Ziolkowski WP FR-16(7)(v) Rate Increase</t>
  </si>
  <si>
    <t>Based on James E. Ziolkowski WP FR-16(7)(v)-1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</si>
</sst>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0.00000\)"/>
    <numFmt numFmtId="165" formatCode="#,##0.0000_);\(#,##0.0000\)"/>
    <numFmt numFmtId="166" formatCode="0.000%"/>
    <numFmt numFmtId="167" formatCode="#,##0.000000_);\(#,##0.000000\)"/>
    <numFmt numFmtId="168" formatCode="#,##0.00000000_);\(#,##0.00000000\)"/>
    <numFmt numFmtId="169" formatCode="0.00000_);\(0.00000\)"/>
    <numFmt numFmtId="170" formatCode="_(&quot;$&quot;* #,##0_);_(&quot;$&quot;* \(#,##0\);_(&quot;$&quot;* &quot;-&quot;??_);_(@_)"/>
    <numFmt numFmtId="171" formatCode="0.0000%"/>
    <numFmt numFmtId="172" formatCode="0.000000%"/>
    <numFmt numFmtId="173" formatCode="_(* #,##0_);_(* \(#,##0\);_(* &quot;-&quot;??_);_(@_)"/>
    <numFmt numFmtId="174" formatCode="General_)"/>
  </numFmts>
  <fonts count="26">
    <font>
      <sz val="12"/>
      <name val="Arial"/>
      <family val="2"/>
    </font>
    <font>
      <sz val="11"/>
      <color theme="1"/>
      <name val="Calibri"/>
      <family val="2"/>
      <scheme val="minor"/>
    </font>
    <font>
      <sz val="12"/>
      <name val="Arial"/>
      <family val="2"/>
    </font>
    <font>
      <sz val="10"/>
      <name val="Arial"/>
      <family val="2"/>
    </font>
    <font>
      <sz val="10"/>
      <color indexed="8"/>
      <name val="Arial"/>
      <family val="2"/>
    </font>
    <font>
      <b/>
      <sz val="10"/>
      <name val="Arial"/>
      <family val="2"/>
    </font>
    <font>
      <sz val="10"/>
      <color rgb="FF0000FF"/>
      <name val="Arial"/>
      <family val="2"/>
    </font>
    <font>
      <b/>
      <sz val="10"/>
      <color rgb="FF0000FF"/>
      <name val="Arial"/>
      <family val="2"/>
    </font>
    <font>
      <b/>
      <sz val="10"/>
      <color indexed="8"/>
      <name val="Arial"/>
      <family val="2"/>
    </font>
    <font>
      <b/>
      <sz val="10"/>
      <color rgb="FFFF0000"/>
      <name val="Arial"/>
      <family val="2"/>
    </font>
    <font>
      <b/>
      <u/>
      <sz val="10"/>
      <name val="Arial"/>
      <family val="2"/>
    </font>
    <font>
      <sz val="10"/>
      <color indexed="53"/>
      <name val="Arial"/>
      <family val="2"/>
    </font>
    <font>
      <b/>
      <sz val="10"/>
      <color indexed="12"/>
      <name val="Arial"/>
      <family val="2"/>
    </font>
    <font>
      <sz val="10"/>
      <color indexed="12"/>
      <name val="Arial"/>
      <family val="2"/>
    </font>
    <font>
      <b/>
      <u/>
      <sz val="10"/>
      <color indexed="8"/>
      <name val="Arial"/>
      <family val="2"/>
    </font>
    <font>
      <u/>
      <sz val="10"/>
      <name val="Arial"/>
      <family val="2"/>
    </font>
    <font>
      <sz val="12"/>
      <name val="Arial MT"/>
    </font>
    <font>
      <b/>
      <sz val="12"/>
      <name val="Arial"/>
      <family val="2"/>
    </font>
    <font>
      <sz val="10"/>
      <color indexed="81"/>
      <name val="Tahoma"/>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
      <color indexed="81"/>
      <name val="Tahoma"/>
      <family val="2"/>
    </font>
    <font>
      <sz val="12"/>
      <name val="Times New Roman"/>
      <family val="1"/>
    </font>
    <font>
      <sz val="10"/>
      <name val="Times New Roman"/>
      <family val="1"/>
    </font>
  </fonts>
  <fills count="8">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79998168889431442"/>
        <bgColor indexed="64"/>
      </patternFill>
    </fill>
  </fills>
  <borders count="2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style="thin">
        <color indexed="64"/>
      </right>
      <top style="thin">
        <color indexed="8"/>
      </top>
      <bottom/>
      <diagonal/>
    </border>
    <border>
      <left style="medium">
        <color indexed="64"/>
      </left>
      <right style="medium">
        <color indexed="64"/>
      </right>
      <top style="thin">
        <color indexed="8"/>
      </top>
      <bottom/>
      <diagonal/>
    </border>
    <border>
      <left/>
      <right style="thin">
        <color indexed="64"/>
      </right>
      <top style="thin">
        <color auto="1"/>
      </top>
      <bottom/>
      <diagonal/>
    </border>
    <border>
      <left/>
      <right/>
      <top style="thin">
        <color auto="1"/>
      </top>
      <bottom/>
      <diagonal/>
    </border>
    <border>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s>
  <cellStyleXfs count="11">
    <xf numFmtId="0" fontId="0" fillId="0" borderId="0"/>
    <xf numFmtId="43" fontId="3"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0" fontId="16" fillId="0" borderId="0"/>
    <xf numFmtId="0" fontId="2" fillId="0" borderId="0"/>
    <xf numFmtId="0" fontId="16"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74" fontId="24" fillId="0" borderId="0"/>
  </cellStyleXfs>
  <cellXfs count="399">
    <xf numFmtId="0" fontId="0" fillId="0" borderId="0" xfId="0"/>
    <xf numFmtId="0" fontId="3" fillId="0" borderId="0" xfId="0" applyFont="1"/>
    <xf numFmtId="39" fontId="3" fillId="0" borderId="0" xfId="0" applyNumberFormat="1" applyFont="1"/>
    <xf numFmtId="0" fontId="3" fillId="0" borderId="0" xfId="0" applyFont="1" applyFill="1"/>
    <xf numFmtId="0" fontId="3" fillId="0" borderId="0" xfId="0" applyFont="1" applyFill="1" applyAlignment="1">
      <alignment horizontal="center"/>
    </xf>
    <xf numFmtId="37" fontId="4" fillId="0" borderId="1" xfId="0" applyNumberFormat="1" applyFont="1" applyFill="1" applyBorder="1" applyProtection="1"/>
    <xf numFmtId="0" fontId="5" fillId="0" borderId="0" xfId="0" applyFont="1" applyFill="1" applyAlignment="1" applyProtection="1">
      <alignment horizontal="center"/>
      <protection locked="0"/>
    </xf>
    <xf numFmtId="0" fontId="5" fillId="0" borderId="0" xfId="0" applyFont="1" applyFill="1" applyAlignment="1" applyProtection="1">
      <alignment horizontal="left"/>
      <protection locked="0"/>
    </xf>
    <xf numFmtId="0" fontId="5" fillId="0" borderId="0" xfId="0" applyFont="1" applyAlignment="1">
      <alignment horizontal="center"/>
    </xf>
    <xf numFmtId="164" fontId="3" fillId="0" borderId="0" xfId="0" applyNumberFormat="1" applyFont="1" applyFill="1" applyBorder="1" applyProtection="1"/>
    <xf numFmtId="37" fontId="3" fillId="0" borderId="0" xfId="0" applyNumberFormat="1" applyFont="1" applyFill="1" applyProtection="1"/>
    <xf numFmtId="0" fontId="7" fillId="0" borderId="0" xfId="0" applyFont="1" applyFill="1" applyAlignment="1" applyProtection="1">
      <alignment horizontal="center"/>
      <protection locked="0"/>
    </xf>
    <xf numFmtId="0" fontId="5" fillId="0" borderId="0" xfId="0" applyFont="1" applyFill="1" applyAlignment="1">
      <alignment horizontal="center"/>
    </xf>
    <xf numFmtId="0" fontId="7" fillId="0" borderId="0" xfId="0" applyFont="1" applyFill="1" applyAlignment="1">
      <alignment horizontal="center"/>
    </xf>
    <xf numFmtId="37" fontId="3" fillId="0" borderId="0" xfId="0" applyNumberFormat="1" applyFont="1" applyFill="1" applyProtection="1">
      <protection locked="0"/>
    </xf>
    <xf numFmtId="0" fontId="7" fillId="0" borderId="0" xfId="0"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8" fillId="0" borderId="1" xfId="0" applyFont="1" applyFill="1" applyBorder="1" applyAlignment="1" applyProtection="1">
      <protection locked="0"/>
    </xf>
    <xf numFmtId="0" fontId="4" fillId="0" borderId="1" xfId="0" applyFont="1" applyFill="1" applyBorder="1"/>
    <xf numFmtId="164" fontId="3" fillId="0" borderId="0" xfId="0" applyNumberFormat="1" applyFont="1" applyFill="1" applyProtection="1"/>
    <xf numFmtId="0" fontId="3" fillId="0" borderId="0" xfId="0" applyFont="1" applyFill="1" applyAlignment="1" applyProtection="1">
      <alignment horizontal="center"/>
      <protection locked="0"/>
    </xf>
    <xf numFmtId="0" fontId="5" fillId="0" borderId="0" xfId="0" applyFont="1" applyFill="1" applyAlignment="1" applyProtection="1">
      <alignment horizontal="left"/>
    </xf>
    <xf numFmtId="0" fontId="9" fillId="0" borderId="0" xfId="0" applyFont="1" applyFill="1" applyAlignment="1">
      <alignment horizontal="center"/>
    </xf>
    <xf numFmtId="164" fontId="3" fillId="2" borderId="2" xfId="0" applyNumberFormat="1" applyFont="1" applyFill="1" applyBorder="1" applyProtection="1"/>
    <xf numFmtId="164" fontId="3" fillId="2" borderId="3" xfId="0" applyNumberFormat="1" applyFont="1" applyFill="1" applyBorder="1" applyProtection="1"/>
    <xf numFmtId="164" fontId="3" fillId="2" borderId="4" xfId="0" applyNumberFormat="1" applyFont="1" applyFill="1" applyBorder="1" applyProtection="1"/>
    <xf numFmtId="0" fontId="7" fillId="0" borderId="0" xfId="0" applyFont="1" applyFill="1" applyAlignment="1" applyProtection="1">
      <alignment horizontal="center"/>
    </xf>
    <xf numFmtId="0" fontId="5" fillId="0" borderId="0" xfId="0" applyFont="1"/>
    <xf numFmtId="164" fontId="3" fillId="2" borderId="5" xfId="0" applyNumberFormat="1" applyFont="1" applyFill="1" applyBorder="1" applyProtection="1"/>
    <xf numFmtId="164" fontId="3" fillId="2" borderId="0" xfId="0" applyNumberFormat="1" applyFont="1" applyFill="1" applyBorder="1" applyProtection="1"/>
    <xf numFmtId="164" fontId="3" fillId="2" borderId="6" xfId="0" applyNumberFormat="1" applyFont="1" applyFill="1" applyBorder="1" applyProtection="1"/>
    <xf numFmtId="0" fontId="5" fillId="0" borderId="0" xfId="0" applyFont="1" applyAlignment="1" applyProtection="1">
      <alignment horizontal="left"/>
    </xf>
    <xf numFmtId="0" fontId="5" fillId="0" borderId="0" xfId="0" applyFont="1" applyFill="1"/>
    <xf numFmtId="37" fontId="3" fillId="0" borderId="0" xfId="0" applyNumberFormat="1" applyFont="1" applyFill="1" applyBorder="1" applyProtection="1"/>
    <xf numFmtId="37" fontId="3" fillId="2" borderId="5" xfId="0" applyNumberFormat="1" applyFont="1" applyFill="1" applyBorder="1" applyProtection="1"/>
    <xf numFmtId="37" fontId="3" fillId="2" borderId="0" xfId="0" applyNumberFormat="1" applyFont="1" applyFill="1" applyBorder="1" applyProtection="1"/>
    <xf numFmtId="37" fontId="3" fillId="2" borderId="6" xfId="0" applyNumberFormat="1" applyFont="1" applyFill="1" applyBorder="1" applyProtection="1"/>
    <xf numFmtId="0" fontId="6" fillId="0" borderId="0" xfId="0" applyFont="1" applyFill="1"/>
    <xf numFmtId="0" fontId="3" fillId="0" borderId="0" xfId="0" applyFont="1" applyFill="1" applyBorder="1"/>
    <xf numFmtId="0" fontId="3" fillId="2" borderId="5" xfId="0" applyFont="1" applyFill="1" applyBorder="1"/>
    <xf numFmtId="0" fontId="3" fillId="2" borderId="0" xfId="0" applyFont="1" applyFill="1" applyBorder="1"/>
    <xf numFmtId="0" fontId="3" fillId="2" borderId="6" xfId="0" applyFont="1" applyFill="1" applyBorder="1"/>
    <xf numFmtId="164" fontId="6" fillId="0" borderId="0" xfId="0" applyNumberFormat="1" applyFont="1" applyFill="1" applyBorder="1" applyProtection="1"/>
    <xf numFmtId="164" fontId="4" fillId="0" borderId="0" xfId="0" applyNumberFormat="1" applyFont="1" applyFill="1" applyBorder="1" applyProtection="1"/>
    <xf numFmtId="164" fontId="4" fillId="2" borderId="5" xfId="0" applyNumberFormat="1" applyFont="1" applyFill="1" applyBorder="1" applyProtection="1"/>
    <xf numFmtId="164" fontId="4" fillId="2" borderId="0" xfId="0" applyNumberFormat="1" applyFont="1" applyFill="1" applyBorder="1" applyProtection="1"/>
    <xf numFmtId="164" fontId="4" fillId="2" borderId="6" xfId="0" applyNumberFormat="1" applyFont="1" applyFill="1" applyBorder="1" applyProtection="1"/>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pplyProtection="1"/>
    <xf numFmtId="0" fontId="3" fillId="0" borderId="0"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37" fontId="5" fillId="0" borderId="0" xfId="0" applyNumberFormat="1" applyFont="1" applyFill="1" applyBorder="1" applyAlignment="1" applyProtection="1">
      <alignment horizontal="right"/>
    </xf>
    <xf numFmtId="0" fontId="5" fillId="0" borderId="3" xfId="0" applyFont="1" applyFill="1" applyBorder="1" applyAlignment="1">
      <alignment horizontal="center"/>
    </xf>
    <xf numFmtId="0" fontId="5" fillId="0" borderId="3" xfId="0" applyFont="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0" borderId="3" xfId="0" applyFont="1" applyFill="1" applyBorder="1" applyAlignment="1" applyProtection="1">
      <alignment horizontal="center"/>
    </xf>
    <xf numFmtId="0" fontId="5" fillId="0" borderId="3" xfId="0" applyFont="1" applyFill="1" applyBorder="1"/>
    <xf numFmtId="0" fontId="5" fillId="0" borderId="3" xfId="0" applyFont="1" applyBorder="1" applyAlignment="1" applyProtection="1">
      <alignment horizontal="left"/>
    </xf>
    <xf numFmtId="0" fontId="5" fillId="2" borderId="7" xfId="0" applyFont="1" applyFill="1" applyBorder="1" applyAlignment="1" applyProtection="1">
      <alignment horizontal="centerContinuous"/>
      <protection locked="0"/>
    </xf>
    <xf numFmtId="0" fontId="5" fillId="2" borderId="8" xfId="0" applyFont="1" applyFill="1" applyBorder="1" applyAlignment="1" applyProtection="1">
      <alignment horizontal="centerContinuous"/>
      <protection locked="0"/>
    </xf>
    <xf numFmtId="0" fontId="5" fillId="2" borderId="9" xfId="0" applyFont="1" applyFill="1" applyBorder="1" applyAlignment="1" applyProtection="1">
      <alignment horizontal="centerContinuous"/>
      <protection locked="0"/>
    </xf>
    <xf numFmtId="0" fontId="5" fillId="0" borderId="0" xfId="0" quotePrefix="1" applyFont="1"/>
    <xf numFmtId="0" fontId="3" fillId="0" borderId="0" xfId="0" applyFont="1" applyFill="1" applyBorder="1" applyAlignment="1" applyProtection="1">
      <alignment horizontal="right"/>
      <protection locked="0"/>
    </xf>
    <xf numFmtId="0" fontId="3" fillId="0" borderId="1" xfId="0" applyFont="1" applyFill="1" applyBorder="1" applyAlignment="1" applyProtection="1">
      <alignment horizontal="right"/>
      <protection locked="0"/>
    </xf>
    <xf numFmtId="0" fontId="5" fillId="0" borderId="0" xfId="0" applyFont="1" applyFill="1" applyBorder="1" applyAlignment="1">
      <alignment horizontal="center"/>
    </xf>
    <xf numFmtId="0" fontId="5" fillId="0" borderId="0" xfId="0" applyFont="1" applyFill="1" applyBorder="1"/>
    <xf numFmtId="37" fontId="5" fillId="0" borderId="0" xfId="0" applyNumberFormat="1" applyFont="1" applyBorder="1" applyProtection="1"/>
    <xf numFmtId="0" fontId="5" fillId="0" borderId="0" xfId="0" applyFont="1" applyFill="1" applyAlignment="1" applyProtection="1">
      <alignment horizontal="center"/>
    </xf>
    <xf numFmtId="37" fontId="4" fillId="0" borderId="0" xfId="0" applyNumberFormat="1" applyFont="1" applyFill="1" applyBorder="1" applyProtection="1"/>
    <xf numFmtId="37" fontId="4" fillId="2" borderId="5" xfId="0" applyNumberFormat="1" applyFont="1" applyFill="1" applyBorder="1" applyProtection="1"/>
    <xf numFmtId="37" fontId="4" fillId="2" borderId="0" xfId="0" applyNumberFormat="1" applyFont="1" applyFill="1" applyBorder="1" applyProtection="1"/>
    <xf numFmtId="37" fontId="4" fillId="2" borderId="6" xfId="0" applyNumberFormat="1" applyFont="1" applyFill="1" applyBorder="1" applyProtection="1"/>
    <xf numFmtId="0" fontId="7" fillId="0" borderId="0" xfId="0" applyFont="1" applyFill="1" applyBorder="1" applyAlignment="1" applyProtection="1">
      <alignment horizontal="center"/>
    </xf>
    <xf numFmtId="0" fontId="5" fillId="0" borderId="0" xfId="0" applyFont="1" applyFill="1" applyBorder="1" applyAlignment="1" applyProtection="1">
      <alignment horizontal="center"/>
    </xf>
    <xf numFmtId="37" fontId="10" fillId="0" borderId="0" xfId="0" applyNumberFormat="1" applyFont="1" applyAlignment="1" applyProtection="1">
      <alignment horizontal="left"/>
    </xf>
    <xf numFmtId="0" fontId="6" fillId="0" borderId="0" xfId="0" applyFont="1" applyFill="1" applyAlignment="1">
      <alignment horizontal="center"/>
    </xf>
    <xf numFmtId="0" fontId="5" fillId="0" borderId="0" xfId="0" applyFont="1" applyFill="1" applyProtection="1"/>
    <xf numFmtId="0" fontId="9" fillId="0" borderId="0" xfId="0" applyFont="1" applyFill="1" applyAlignment="1" applyProtection="1">
      <alignment horizontal="left"/>
      <protection locked="0"/>
    </xf>
    <xf numFmtId="0" fontId="11" fillId="0" borderId="0" xfId="0" applyFont="1"/>
    <xf numFmtId="37" fontId="3" fillId="0" borderId="0" xfId="0" applyNumberFormat="1" applyFont="1"/>
    <xf numFmtId="37" fontId="9" fillId="0" borderId="0" xfId="0" applyNumberFormat="1" applyFont="1"/>
    <xf numFmtId="37" fontId="3" fillId="0" borderId="0" xfId="0" applyNumberFormat="1" applyFont="1" applyFill="1"/>
    <xf numFmtId="0" fontId="9" fillId="0" borderId="0" xfId="0" applyFont="1"/>
    <xf numFmtId="37" fontId="3" fillId="0" borderId="6" xfId="0" applyNumberFormat="1" applyFont="1" applyFill="1" applyBorder="1" applyProtection="1"/>
    <xf numFmtId="37" fontId="3" fillId="0" borderId="2" xfId="0" applyNumberFormat="1" applyFont="1" applyFill="1" applyBorder="1" applyProtection="1"/>
    <xf numFmtId="37" fontId="3" fillId="0" borderId="3" xfId="0" applyNumberFormat="1" applyFont="1" applyFill="1" applyBorder="1" applyProtection="1"/>
    <xf numFmtId="37" fontId="3" fillId="0" borderId="4" xfId="0" applyNumberFormat="1" applyFont="1" applyFill="1" applyBorder="1" applyProtection="1"/>
    <xf numFmtId="0" fontId="12" fillId="0" borderId="0" xfId="0" applyFont="1" applyFill="1" applyAlignment="1" applyProtection="1">
      <alignment horizontal="center"/>
    </xf>
    <xf numFmtId="0" fontId="12" fillId="0" borderId="0" xfId="0" applyFont="1" applyFill="1" applyAlignment="1" applyProtection="1">
      <alignment horizontal="left"/>
      <protection locked="0"/>
    </xf>
    <xf numFmtId="37" fontId="3" fillId="0" borderId="5" xfId="0" applyNumberFormat="1" applyFont="1" applyFill="1" applyBorder="1" applyProtection="1"/>
    <xf numFmtId="0" fontId="3" fillId="0" borderId="6" xfId="0" applyFont="1" applyFill="1" applyBorder="1"/>
    <xf numFmtId="0" fontId="3" fillId="0" borderId="5" xfId="0" applyFont="1" applyFill="1" applyBorder="1"/>
    <xf numFmtId="0" fontId="3" fillId="0" borderId="0" xfId="0" applyFont="1" applyFill="1" applyBorder="1" applyAlignment="1">
      <alignment horizontal="center"/>
    </xf>
    <xf numFmtId="164" fontId="3" fillId="0" borderId="6" xfId="0" applyNumberFormat="1" applyFont="1" applyFill="1" applyBorder="1" applyProtection="1"/>
    <xf numFmtId="164" fontId="3" fillId="0" borderId="5" xfId="0" applyNumberFormat="1" applyFont="1" applyFill="1" applyBorder="1" applyProtection="1"/>
    <xf numFmtId="37" fontId="6" fillId="0" borderId="0" xfId="0" applyNumberFormat="1" applyFont="1" applyFill="1" applyBorder="1" applyProtection="1">
      <protection locked="0"/>
    </xf>
    <xf numFmtId="37" fontId="6" fillId="0" borderId="6" xfId="0" applyNumberFormat="1" applyFont="1" applyFill="1" applyBorder="1" applyProtection="1">
      <protection locked="0"/>
    </xf>
    <xf numFmtId="37" fontId="13" fillId="0" borderId="5" xfId="0" applyNumberFormat="1" applyFont="1" applyFill="1" applyBorder="1" applyProtection="1">
      <protection locked="0"/>
    </xf>
    <xf numFmtId="37" fontId="3" fillId="0" borderId="6" xfId="0" applyNumberFormat="1" applyFont="1" applyFill="1" applyBorder="1" applyProtection="1">
      <protection locked="0"/>
    </xf>
    <xf numFmtId="0" fontId="12" fillId="0" borderId="0" xfId="0" applyFont="1" applyFill="1" applyAlignment="1" applyProtection="1">
      <alignment horizontal="center"/>
      <protection locked="0"/>
    </xf>
    <xf numFmtId="164" fontId="3" fillId="3" borderId="0" xfId="0" applyNumberFormat="1" applyFont="1" applyFill="1" applyBorder="1" applyProtection="1"/>
    <xf numFmtId="164" fontId="3" fillId="3" borderId="6" xfId="0" applyNumberFormat="1" applyFont="1" applyFill="1" applyBorder="1" applyProtection="1"/>
    <xf numFmtId="0" fontId="5" fillId="3" borderId="0" xfId="0" applyFont="1" applyFill="1"/>
    <xf numFmtId="0" fontId="5" fillId="3" borderId="0" xfId="0" applyFont="1" applyFill="1" applyAlignment="1">
      <alignment horizontal="center"/>
    </xf>
    <xf numFmtId="37" fontId="6" fillId="3" borderId="0" xfId="0" applyNumberFormat="1" applyFont="1" applyFill="1" applyBorder="1" applyProtection="1">
      <protection locked="0"/>
    </xf>
    <xf numFmtId="37" fontId="6" fillId="3" borderId="6" xfId="0" applyNumberFormat="1" applyFont="1" applyFill="1" applyBorder="1" applyProtection="1">
      <protection locked="0"/>
    </xf>
    <xf numFmtId="37" fontId="3" fillId="0" borderId="5" xfId="0" applyNumberFormat="1" applyFont="1" applyFill="1" applyBorder="1" applyProtection="1">
      <protection locked="0"/>
    </xf>
    <xf numFmtId="37" fontId="3" fillId="0" borderId="0" xfId="0" applyNumberFormat="1" applyFont="1" applyFill="1" applyBorder="1" applyProtection="1">
      <protection locked="0"/>
    </xf>
    <xf numFmtId="0" fontId="12" fillId="0" borderId="0" xfId="0" applyFont="1" applyFill="1" applyAlignment="1">
      <alignment horizontal="center"/>
    </xf>
    <xf numFmtId="0" fontId="3" fillId="3" borderId="0" xfId="0" applyFont="1" applyFill="1"/>
    <xf numFmtId="0" fontId="11" fillId="0" borderId="0" xfId="0" applyFont="1" applyFill="1" applyBorder="1"/>
    <xf numFmtId="164" fontId="3" fillId="3" borderId="5" xfId="0" applyNumberFormat="1" applyFont="1" applyFill="1" applyBorder="1" applyProtection="1"/>
    <xf numFmtId="37" fontId="3" fillId="3" borderId="6" xfId="0" applyNumberFormat="1" applyFont="1" applyFill="1" applyBorder="1" applyProtection="1">
      <protection locked="0"/>
    </xf>
    <xf numFmtId="37" fontId="3" fillId="3" borderId="5" xfId="0" applyNumberFormat="1" applyFont="1" applyFill="1" applyBorder="1" applyProtection="1">
      <protection locked="0"/>
    </xf>
    <xf numFmtId="37" fontId="3" fillId="3" borderId="0" xfId="0" applyNumberFormat="1" applyFont="1" applyFill="1" applyBorder="1" applyProtection="1">
      <protection locked="0"/>
    </xf>
    <xf numFmtId="37" fontId="6" fillId="3" borderId="5" xfId="0" applyNumberFormat="1" applyFont="1" applyFill="1" applyBorder="1" applyProtection="1">
      <protection locked="0"/>
    </xf>
    <xf numFmtId="37" fontId="3" fillId="0" borderId="5" xfId="0" quotePrefix="1" applyNumberFormat="1" applyFont="1" applyFill="1" applyBorder="1" applyProtection="1">
      <protection locked="0"/>
    </xf>
    <xf numFmtId="37" fontId="3" fillId="3" borderId="0" xfId="0" applyNumberFormat="1" applyFont="1" applyFill="1" applyProtection="1">
      <protection locked="0"/>
    </xf>
    <xf numFmtId="37" fontId="6" fillId="0" borderId="5" xfId="0" applyNumberFormat="1" applyFont="1" applyFill="1" applyBorder="1" applyProtection="1">
      <protection locked="0"/>
    </xf>
    <xf numFmtId="37" fontId="4" fillId="0" borderId="5" xfId="0" applyNumberFormat="1" applyFont="1" applyFill="1" applyBorder="1" applyProtection="1"/>
    <xf numFmtId="37" fontId="4" fillId="0" borderId="6" xfId="0" applyNumberFormat="1" applyFont="1" applyFill="1" applyBorder="1" applyProtection="1"/>
    <xf numFmtId="0" fontId="4" fillId="0" borderId="0" xfId="0" applyFont="1" applyFill="1" applyBorder="1" applyAlignment="1">
      <alignment horizontal="center"/>
    </xf>
    <xf numFmtId="0" fontId="4" fillId="0" borderId="0" xfId="0" applyFont="1" applyFill="1" applyBorder="1"/>
    <xf numFmtId="0" fontId="14" fillId="0" borderId="0" xfId="0" applyFont="1" applyFill="1" applyBorder="1" applyAlignment="1" applyProtection="1"/>
    <xf numFmtId="0" fontId="3" fillId="2" borderId="10"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5" fillId="0" borderId="0" xfId="0" applyFont="1" applyFill="1" applyBorder="1" applyAlignment="1">
      <alignment horizontal="right"/>
    </xf>
    <xf numFmtId="0" fontId="5" fillId="0" borderId="0" xfId="0" applyFont="1" applyBorder="1" applyAlignment="1" applyProtection="1">
      <alignment horizontal="left"/>
    </xf>
    <xf numFmtId="164" fontId="13" fillId="0" borderId="0" xfId="0" applyNumberFormat="1" applyFont="1" applyFill="1" applyProtection="1">
      <protection locked="0"/>
    </xf>
    <xf numFmtId="164" fontId="4" fillId="0" borderId="0" xfId="0" applyNumberFormat="1" applyFont="1" applyFill="1" applyBorder="1" applyProtection="1">
      <protection locked="0"/>
    </xf>
    <xf numFmtId="0" fontId="3" fillId="0" borderId="0" xfId="0" applyFont="1" applyAlignment="1">
      <alignment horizontal="center"/>
    </xf>
    <xf numFmtId="165" fontId="3" fillId="0" borderId="0" xfId="0" applyNumberFormat="1" applyFont="1" applyFill="1" applyBorder="1" applyProtection="1"/>
    <xf numFmtId="165" fontId="3" fillId="0" borderId="0" xfId="0" applyNumberFormat="1" applyFont="1" applyProtection="1"/>
    <xf numFmtId="37" fontId="3" fillId="0" borderId="1" xfId="0" applyNumberFormat="1" applyFont="1" applyFill="1" applyBorder="1" applyProtection="1"/>
    <xf numFmtId="165" fontId="4" fillId="0" borderId="1" xfId="0" applyNumberFormat="1" applyFont="1" applyFill="1" applyBorder="1" applyProtection="1"/>
    <xf numFmtId="166" fontId="3" fillId="0" borderId="0" xfId="3" applyNumberFormat="1" applyFont="1" applyProtection="1"/>
    <xf numFmtId="0" fontId="15" fillId="0" borderId="0" xfId="0" applyFont="1" applyAlignment="1">
      <alignment horizontal="center"/>
    </xf>
    <xf numFmtId="0" fontId="5" fillId="0" borderId="0" xfId="0" applyFont="1" applyFill="1" applyAlignment="1">
      <alignment horizontal="right"/>
    </xf>
    <xf numFmtId="0" fontId="5" fillId="0" borderId="3" xfId="0" applyFont="1" applyBorder="1"/>
    <xf numFmtId="37" fontId="3" fillId="0" borderId="0" xfId="0" applyNumberFormat="1" applyFont="1" applyProtection="1"/>
    <xf numFmtId="37" fontId="3" fillId="2" borderId="2" xfId="0" applyNumberFormat="1" applyFont="1" applyFill="1" applyBorder="1" applyProtection="1"/>
    <xf numFmtId="37" fontId="3" fillId="2" borderId="3" xfId="0" applyNumberFormat="1" applyFont="1" applyFill="1" applyBorder="1" applyProtection="1"/>
    <xf numFmtId="164" fontId="3" fillId="0" borderId="0" xfId="0" applyNumberFormat="1" applyFont="1" applyProtection="1"/>
    <xf numFmtId="37" fontId="4" fillId="2" borderId="10" xfId="0" applyNumberFormat="1" applyFont="1" applyFill="1" applyBorder="1" applyProtection="1"/>
    <xf numFmtId="37" fontId="4" fillId="2" borderId="1" xfId="0" applyNumberFormat="1" applyFont="1" applyFill="1" applyBorder="1" applyProtection="1"/>
    <xf numFmtId="0" fontId="3" fillId="0" borderId="1" xfId="0" applyFont="1" applyFill="1" applyBorder="1"/>
    <xf numFmtId="37" fontId="3" fillId="0" borderId="0" xfId="0" applyNumberFormat="1" applyFont="1" applyBorder="1" applyProtection="1"/>
    <xf numFmtId="0" fontId="3" fillId="0" borderId="3" xfId="0" applyFont="1" applyFill="1" applyBorder="1"/>
    <xf numFmtId="0" fontId="7" fillId="0" borderId="0" xfId="0" applyFont="1" applyFill="1"/>
    <xf numFmtId="167" fontId="3" fillId="0" borderId="0" xfId="4" quotePrefix="1" applyNumberFormat="1" applyFont="1" applyFill="1" applyBorder="1" applyProtection="1"/>
    <xf numFmtId="0" fontId="3" fillId="0" borderId="0" xfId="4" applyFont="1" applyFill="1" applyProtection="1"/>
    <xf numFmtId="0" fontId="3" fillId="0" borderId="0" xfId="4" applyFont="1" applyFill="1" applyAlignment="1">
      <alignment horizontal="center"/>
    </xf>
    <xf numFmtId="167" fontId="3" fillId="2" borderId="2" xfId="4" quotePrefix="1" applyNumberFormat="1" applyFont="1" applyFill="1" applyBorder="1" applyProtection="1"/>
    <xf numFmtId="167" fontId="3" fillId="2" borderId="3" xfId="4" quotePrefix="1" applyNumberFormat="1" applyFont="1" applyFill="1" applyBorder="1" applyProtection="1"/>
    <xf numFmtId="37" fontId="3" fillId="0" borderId="0" xfId="4" applyNumberFormat="1" applyFont="1" applyFill="1" applyProtection="1"/>
    <xf numFmtId="37" fontId="3" fillId="2" borderId="5" xfId="4" applyNumberFormat="1" applyFont="1" applyFill="1" applyBorder="1" applyProtection="1"/>
    <xf numFmtId="37" fontId="3" fillId="2" borderId="0" xfId="4" applyNumberFormat="1" applyFont="1" applyFill="1" applyBorder="1" applyProtection="1"/>
    <xf numFmtId="37" fontId="3" fillId="0" borderId="16" xfId="4" applyNumberFormat="1" applyFont="1" applyFill="1" applyBorder="1" applyProtection="1"/>
    <xf numFmtId="37" fontId="3" fillId="2" borderId="17" xfId="4" applyNumberFormat="1" applyFont="1" applyFill="1" applyBorder="1" applyProtection="1"/>
    <xf numFmtId="37" fontId="3" fillId="2" borderId="16" xfId="4" applyNumberFormat="1" applyFont="1" applyFill="1" applyBorder="1" applyProtection="1"/>
    <xf numFmtId="0" fontId="3" fillId="0" borderId="0" xfId="4" applyFont="1" applyFill="1" applyAlignment="1" applyProtection="1">
      <alignment horizontal="center"/>
    </xf>
    <xf numFmtId="0" fontId="3" fillId="0" borderId="0" xfId="4" applyFont="1" applyFill="1" applyBorder="1" applyProtection="1"/>
    <xf numFmtId="0" fontId="3" fillId="0" borderId="3" xfId="4" applyFont="1" applyFill="1" applyBorder="1" applyProtection="1"/>
    <xf numFmtId="37" fontId="5" fillId="0" borderId="0" xfId="0" applyNumberFormat="1" applyFont="1" applyFill="1"/>
    <xf numFmtId="37" fontId="3" fillId="2" borderId="5" xfId="0" applyNumberFormat="1" applyFont="1" applyFill="1" applyBorder="1"/>
    <xf numFmtId="37" fontId="3" fillId="2" borderId="0" xfId="0" applyNumberFormat="1" applyFont="1" applyFill="1" applyBorder="1"/>
    <xf numFmtId="0" fontId="9" fillId="0" borderId="0" xfId="4" applyFont="1" applyFill="1" applyAlignment="1" applyProtection="1">
      <alignment horizontal="left"/>
    </xf>
    <xf numFmtId="168" fontId="3" fillId="0" borderId="0" xfId="4" applyNumberFormat="1" applyFont="1" applyFill="1" applyProtection="1"/>
    <xf numFmtId="168" fontId="3" fillId="2" borderId="5" xfId="4" applyNumberFormat="1" applyFont="1" applyFill="1" applyBorder="1" applyProtection="1"/>
    <xf numFmtId="168" fontId="3" fillId="2" borderId="0" xfId="4" applyNumberFormat="1" applyFont="1" applyFill="1" applyBorder="1" applyProtection="1"/>
    <xf numFmtId="43" fontId="3" fillId="0" borderId="0" xfId="1" applyFont="1"/>
    <xf numFmtId="37" fontId="3" fillId="0" borderId="3" xfId="0" applyNumberFormat="1" applyFont="1" applyBorder="1"/>
    <xf numFmtId="37" fontId="3" fillId="2" borderId="2" xfId="0" applyNumberFormat="1" applyFont="1" applyFill="1" applyBorder="1"/>
    <xf numFmtId="37" fontId="3" fillId="2" borderId="3" xfId="0" applyNumberFormat="1" applyFont="1" applyFill="1" applyBorder="1"/>
    <xf numFmtId="0" fontId="15" fillId="0" borderId="0" xfId="4" applyFont="1" applyFill="1" applyProtection="1"/>
    <xf numFmtId="0" fontId="3" fillId="0" borderId="0" xfId="4" applyFont="1" applyFill="1"/>
    <xf numFmtId="37" fontId="5" fillId="0" borderId="0" xfId="4" applyNumberFormat="1" applyFont="1" applyFill="1" applyBorder="1" applyProtection="1"/>
    <xf numFmtId="0" fontId="3" fillId="0" borderId="16" xfId="4" applyFont="1" applyFill="1" applyBorder="1" applyProtection="1"/>
    <xf numFmtId="37" fontId="3" fillId="0" borderId="3" xfId="0" applyNumberFormat="1" applyFont="1" applyBorder="1" applyProtection="1"/>
    <xf numFmtId="0" fontId="13" fillId="0" borderId="0" xfId="4" applyFont="1" applyFill="1" applyAlignment="1" applyProtection="1">
      <alignment horizontal="center"/>
      <protection locked="0"/>
    </xf>
    <xf numFmtId="0" fontId="13" fillId="0" borderId="0" xfId="4" applyFont="1" applyFill="1" applyProtection="1">
      <protection locked="0"/>
    </xf>
    <xf numFmtId="0" fontId="3" fillId="0" borderId="0" xfId="5" applyFont="1" applyFill="1" applyAlignment="1" applyProtection="1">
      <alignment horizontal="center"/>
    </xf>
    <xf numFmtId="0" fontId="3" fillId="0" borderId="0" xfId="5" applyFont="1" applyFill="1" applyProtection="1"/>
    <xf numFmtId="0" fontId="5" fillId="0" borderId="0" xfId="5" applyFont="1" applyFill="1" applyProtection="1"/>
    <xf numFmtId="0" fontId="13" fillId="0" borderId="0" xfId="4" applyFont="1" applyFill="1"/>
    <xf numFmtId="0" fontId="5" fillId="0" borderId="0" xfId="4" applyFont="1" applyFill="1" applyProtection="1"/>
    <xf numFmtId="0" fontId="16" fillId="0" borderId="0" xfId="4" applyFont="1" applyFill="1" applyAlignment="1">
      <alignment horizontal="center"/>
    </xf>
    <xf numFmtId="0" fontId="16" fillId="0" borderId="0" xfId="4" applyFill="1"/>
    <xf numFmtId="0" fontId="16" fillId="0" borderId="0" xfId="4"/>
    <xf numFmtId="0" fontId="5" fillId="2" borderId="5" xfId="0" applyFont="1" applyFill="1" applyBorder="1"/>
    <xf numFmtId="0" fontId="5" fillId="2" borderId="0" xfId="0" applyFont="1" applyFill="1" applyBorder="1"/>
    <xf numFmtId="0" fontId="15" fillId="0" borderId="0" xfId="4" applyFont="1" applyFill="1" applyBorder="1" applyProtection="1"/>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5" fillId="0" borderId="0" xfId="5" applyFont="1" applyFill="1" applyAlignment="1" applyProtection="1">
      <alignment horizontal="right"/>
    </xf>
    <xf numFmtId="0" fontId="5" fillId="0" borderId="0" xfId="5" applyFont="1" applyFill="1" applyBorder="1" applyProtection="1"/>
    <xf numFmtId="0" fontId="3" fillId="0" borderId="21" xfId="4" applyFont="1" applyFill="1" applyBorder="1" applyAlignment="1" applyProtection="1">
      <alignment horizontal="center"/>
      <protection locked="0"/>
    </xf>
    <xf numFmtId="0" fontId="3" fillId="0" borderId="21" xfId="4" applyFont="1" applyFill="1" applyBorder="1" applyAlignment="1" applyProtection="1">
      <alignment horizontal="center"/>
    </xf>
    <xf numFmtId="0" fontId="5" fillId="0" borderId="3" xfId="4" applyFont="1" applyBorder="1"/>
    <xf numFmtId="0" fontId="3" fillId="0" borderId="0" xfId="4" applyFont="1" applyFill="1" applyProtection="1">
      <protection locked="0"/>
    </xf>
    <xf numFmtId="37" fontId="4" fillId="0" borderId="20" xfId="0" applyNumberFormat="1" applyFont="1" applyFill="1" applyBorder="1" applyProtection="1"/>
    <xf numFmtId="37" fontId="4" fillId="2" borderId="7" xfId="0" applyNumberFormat="1" applyFont="1" applyFill="1" applyBorder="1" applyProtection="1"/>
    <xf numFmtId="37" fontId="4" fillId="2" borderId="8" xfId="0" applyNumberFormat="1" applyFont="1" applyFill="1" applyBorder="1" applyProtection="1"/>
    <xf numFmtId="164" fontId="5" fillId="0" borderId="0" xfId="0" applyNumberFormat="1" applyFont="1" applyFill="1"/>
    <xf numFmtId="37" fontId="5" fillId="0" borderId="0" xfId="0" applyNumberFormat="1" applyFont="1" applyFill="1" applyProtection="1"/>
    <xf numFmtId="0" fontId="17" fillId="0" borderId="0" xfId="0" applyFont="1" applyFill="1"/>
    <xf numFmtId="0" fontId="17" fillId="0" borderId="0" xfId="0" applyFont="1" applyFill="1" applyAlignment="1">
      <alignment horizontal="center"/>
    </xf>
    <xf numFmtId="0" fontId="0" fillId="0" borderId="0" xfId="0" applyFont="1" applyFill="1"/>
    <xf numFmtId="0" fontId="0" fillId="0" borderId="0" xfId="0" applyFont="1"/>
    <xf numFmtId="0" fontId="0" fillId="0" borderId="0" xfId="0" applyFont="1" applyFill="1" applyAlignment="1">
      <alignment horizontal="center"/>
    </xf>
    <xf numFmtId="0" fontId="6" fillId="0" borderId="3" xfId="0" applyFont="1" applyFill="1" applyBorder="1"/>
    <xf numFmtId="0" fontId="3" fillId="4" borderId="0" xfId="0" applyFont="1" applyFill="1"/>
    <xf numFmtId="43" fontId="5" fillId="0" borderId="0" xfId="1" applyFont="1" applyFill="1"/>
    <xf numFmtId="0" fontId="15" fillId="0" borderId="0" xfId="0" applyFont="1"/>
    <xf numFmtId="37" fontId="3" fillId="0" borderId="0" xfId="0" applyNumberFormat="1" applyFont="1" applyProtection="1">
      <protection locked="0"/>
    </xf>
    <xf numFmtId="0" fontId="3" fillId="2" borderId="0" xfId="0" applyFont="1" applyFill="1" applyBorder="1" applyAlignment="1" applyProtection="1">
      <alignment horizontal="center"/>
    </xf>
    <xf numFmtId="0" fontId="6" fillId="0" borderId="0" xfId="0" applyFont="1" applyFill="1" applyBorder="1"/>
    <xf numFmtId="0" fontId="3" fillId="0" borderId="0" xfId="0" applyFont="1" applyFill="1" applyAlignment="1">
      <alignment horizontal="left" indent="1"/>
    </xf>
    <xf numFmtId="37" fontId="3" fillId="2" borderId="10" xfId="0" applyNumberFormat="1" applyFont="1" applyFill="1" applyBorder="1" applyProtection="1">
      <protection locked="0"/>
    </xf>
    <xf numFmtId="37" fontId="3" fillId="2" borderId="1" xfId="0" applyNumberFormat="1" applyFont="1" applyFill="1" applyBorder="1" applyProtection="1">
      <protection locked="0"/>
    </xf>
    <xf numFmtId="0" fontId="3" fillId="0" borderId="1" xfId="0" applyFont="1" applyFill="1" applyBorder="1" applyAlignment="1">
      <alignment horizontal="left" indent="1"/>
    </xf>
    <xf numFmtId="0" fontId="6" fillId="0" borderId="0" xfId="0" applyFont="1" applyFill="1" applyAlignment="1" applyProtection="1">
      <alignment horizontal="center"/>
    </xf>
    <xf numFmtId="0" fontId="13" fillId="0" borderId="0" xfId="6" applyFont="1" applyFill="1" applyAlignment="1" applyProtection="1">
      <alignment horizontal="center"/>
      <protection locked="0"/>
    </xf>
    <xf numFmtId="0" fontId="13" fillId="0" borderId="0" xfId="6" applyFont="1" applyFill="1" applyProtection="1">
      <protection locked="0"/>
    </xf>
    <xf numFmtId="0" fontId="6" fillId="0" borderId="0" xfId="0" applyFont="1"/>
    <xf numFmtId="169" fontId="3" fillId="2" borderId="5" xfId="0" applyNumberFormat="1" applyFont="1" applyFill="1" applyBorder="1" applyProtection="1"/>
    <xf numFmtId="169" fontId="3" fillId="2" borderId="0" xfId="0" applyNumberFormat="1" applyFont="1" applyFill="1" applyBorder="1" applyProtection="1"/>
    <xf numFmtId="37" fontId="3" fillId="0" borderId="1" xfId="0" applyNumberFormat="1" applyFont="1" applyBorder="1" applyProtection="1"/>
    <xf numFmtId="37" fontId="3" fillId="2" borderId="10" xfId="0" applyNumberFormat="1" applyFont="1" applyFill="1" applyBorder="1" applyProtection="1"/>
    <xf numFmtId="37" fontId="3" fillId="2" borderId="1" xfId="0" applyNumberFormat="1" applyFont="1" applyFill="1" applyBorder="1" applyProtection="1"/>
    <xf numFmtId="0" fontId="6" fillId="0" borderId="0" xfId="0" applyFont="1" applyFill="1" applyAlignment="1" applyProtection="1">
      <alignment horizontal="center"/>
      <protection locked="0"/>
    </xf>
    <xf numFmtId="0" fontId="6" fillId="0" borderId="0" xfId="0" quotePrefix="1" applyFont="1" applyFill="1"/>
    <xf numFmtId="0" fontId="13" fillId="0" borderId="0" xfId="6" applyFont="1" applyFill="1"/>
    <xf numFmtId="0" fontId="13" fillId="0" borderId="0" xfId="6" applyFont="1" applyFill="1" applyProtection="1"/>
    <xf numFmtId="0" fontId="3" fillId="0" borderId="0" xfId="0" applyFont="1" applyBorder="1"/>
    <xf numFmtId="0" fontId="3" fillId="5" borderId="0" xfId="0" applyFont="1" applyFill="1"/>
    <xf numFmtId="37" fontId="5" fillId="0" borderId="0" xfId="0" applyNumberFormat="1" applyFont="1" applyFill="1" applyAlignment="1">
      <alignment horizontal="center"/>
    </xf>
    <xf numFmtId="0" fontId="3" fillId="0" borderId="3" xfId="0" applyFont="1" applyBorder="1"/>
    <xf numFmtId="0" fontId="6" fillId="6" borderId="5" xfId="0" applyFont="1" applyFill="1" applyBorder="1" applyAlignment="1" applyProtection="1">
      <alignment horizontal="center"/>
      <protection locked="0"/>
    </xf>
    <xf numFmtId="0" fontId="6" fillId="6" borderId="0" xfId="0" applyFont="1" applyFill="1" applyBorder="1" applyAlignment="1" applyProtection="1">
      <alignment horizontal="center"/>
      <protection locked="0"/>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10" xfId="0" applyFont="1" applyFill="1" applyBorder="1" applyAlignment="1" applyProtection="1">
      <alignment horizontal="centerContinuous"/>
      <protection locked="0"/>
    </xf>
    <xf numFmtId="0" fontId="5" fillId="2" borderId="1" xfId="0" applyFont="1" applyFill="1" applyBorder="1" applyAlignment="1" applyProtection="1">
      <alignment horizontal="centerContinuous"/>
      <protection locked="0"/>
    </xf>
    <xf numFmtId="0" fontId="5" fillId="4" borderId="0" xfId="0" applyFont="1" applyFill="1"/>
    <xf numFmtId="0" fontId="7" fillId="0" borderId="0" xfId="0" applyFont="1"/>
    <xf numFmtId="0" fontId="5" fillId="7" borderId="0" xfId="0" applyFont="1" applyFill="1"/>
    <xf numFmtId="0" fontId="5" fillId="7" borderId="22" xfId="0" applyFont="1" applyFill="1" applyBorder="1"/>
    <xf numFmtId="0" fontId="5" fillId="7" borderId="13" xfId="0" applyFont="1" applyFill="1" applyBorder="1"/>
    <xf numFmtId="0" fontId="5" fillId="7" borderId="13" xfId="0" applyFont="1" applyFill="1" applyBorder="1" applyAlignment="1">
      <alignment horizontal="center"/>
    </xf>
    <xf numFmtId="0" fontId="7" fillId="7" borderId="15" xfId="0" applyFont="1" applyFill="1" applyBorder="1" applyAlignment="1">
      <alignment horizontal="center"/>
    </xf>
    <xf numFmtId="0" fontId="3" fillId="7" borderId="13" xfId="0" applyFont="1" applyFill="1" applyBorder="1"/>
    <xf numFmtId="37" fontId="3" fillId="7" borderId="13" xfId="0" applyNumberFormat="1" applyFont="1" applyFill="1" applyBorder="1" applyProtection="1"/>
    <xf numFmtId="37" fontId="4" fillId="7" borderId="14" xfId="0" applyNumberFormat="1" applyFont="1" applyFill="1" applyBorder="1" applyProtection="1"/>
    <xf numFmtId="37" fontId="3" fillId="7" borderId="13" xfId="0" applyNumberFormat="1" applyFont="1" applyFill="1" applyBorder="1"/>
    <xf numFmtId="37" fontId="13" fillId="7" borderId="13" xfId="0" applyNumberFormat="1" applyFont="1" applyFill="1" applyBorder="1" applyProtection="1">
      <protection locked="0"/>
    </xf>
    <xf numFmtId="37" fontId="5" fillId="7" borderId="13" xfId="0" applyNumberFormat="1" applyFont="1" applyFill="1" applyBorder="1"/>
    <xf numFmtId="0" fontId="5" fillId="7" borderId="15" xfId="0" applyFont="1" applyFill="1" applyBorder="1" applyAlignment="1">
      <alignment horizontal="center"/>
    </xf>
    <xf numFmtId="37" fontId="6" fillId="7" borderId="13" xfId="0" applyNumberFormat="1" applyFont="1" applyFill="1" applyBorder="1" applyProtection="1">
      <protection locked="0"/>
    </xf>
    <xf numFmtId="37" fontId="3" fillId="7" borderId="13" xfId="0" applyNumberFormat="1" applyFont="1" applyFill="1" applyBorder="1" applyProtection="1">
      <protection locked="0"/>
    </xf>
    <xf numFmtId="37" fontId="3" fillId="7" borderId="14" xfId="0" applyNumberFormat="1" applyFont="1" applyFill="1" applyBorder="1" applyProtection="1"/>
    <xf numFmtId="0" fontId="11" fillId="7" borderId="13" xfId="0" applyFont="1" applyFill="1" applyBorder="1"/>
    <xf numFmtId="37" fontId="6" fillId="7" borderId="13" xfId="0" applyNumberFormat="1" applyFont="1" applyFill="1" applyBorder="1" applyProtection="1"/>
    <xf numFmtId="37" fontId="6" fillId="7" borderId="15" xfId="0" applyNumberFormat="1" applyFont="1" applyFill="1" applyBorder="1" applyProtection="1">
      <protection locked="0"/>
    </xf>
    <xf numFmtId="164" fontId="3" fillId="7" borderId="13" xfId="0" applyNumberFormat="1" applyFont="1" applyFill="1" applyBorder="1" applyProtection="1"/>
    <xf numFmtId="37" fontId="4" fillId="7" borderId="14" xfId="0" applyNumberFormat="1" applyFont="1" applyFill="1" applyBorder="1" applyProtection="1">
      <protection locked="0"/>
    </xf>
    <xf numFmtId="37" fontId="3" fillId="7" borderId="14" xfId="0" applyNumberFormat="1" applyFont="1" applyFill="1" applyBorder="1" applyProtection="1">
      <protection locked="0"/>
    </xf>
    <xf numFmtId="37" fontId="4" fillId="7" borderId="13" xfId="0" applyNumberFormat="1" applyFont="1" applyFill="1" applyBorder="1" applyProtection="1"/>
    <xf numFmtId="37" fontId="13" fillId="7" borderId="15" xfId="0" applyNumberFormat="1" applyFont="1" applyFill="1" applyBorder="1" applyProtection="1">
      <protection locked="0"/>
    </xf>
    <xf numFmtId="37" fontId="3" fillId="7" borderId="15" xfId="0" applyNumberFormat="1" applyFont="1" applyFill="1" applyBorder="1"/>
    <xf numFmtId="168" fontId="3" fillId="7" borderId="13" xfId="4" applyNumberFormat="1" applyFont="1" applyFill="1" applyBorder="1" applyProtection="1"/>
    <xf numFmtId="37" fontId="3" fillId="7" borderId="13" xfId="4" applyNumberFormat="1" applyFont="1" applyFill="1" applyBorder="1" applyProtection="1"/>
    <xf numFmtId="37" fontId="3" fillId="7" borderId="18" xfId="4" applyNumberFormat="1" applyFont="1" applyFill="1" applyBorder="1" applyProtection="1"/>
    <xf numFmtId="167" fontId="3" fillId="7" borderId="13" xfId="4" quotePrefix="1" applyNumberFormat="1" applyFont="1" applyFill="1" applyBorder="1" applyProtection="1"/>
    <xf numFmtId="37" fontId="13" fillId="7" borderId="13" xfId="0" applyNumberFormat="1" applyFont="1" applyFill="1" applyBorder="1" applyProtection="1"/>
    <xf numFmtId="37" fontId="3" fillId="7" borderId="12" xfId="0" applyNumberFormat="1" applyFont="1" applyFill="1" applyBorder="1" applyProtection="1"/>
    <xf numFmtId="0" fontId="3" fillId="7" borderId="0" xfId="0" applyFont="1" applyFill="1" applyBorder="1"/>
    <xf numFmtId="0" fontId="5" fillId="7" borderId="0" xfId="0" applyFont="1" applyFill="1" applyAlignment="1">
      <alignment horizontal="center"/>
    </xf>
    <xf numFmtId="0" fontId="5" fillId="7" borderId="3" xfId="0" applyFont="1" applyFill="1" applyBorder="1" applyAlignment="1">
      <alignment horizontal="center"/>
    </xf>
    <xf numFmtId="0" fontId="3" fillId="7" borderId="0" xfId="0" applyFont="1" applyFill="1"/>
    <xf numFmtId="37" fontId="13" fillId="7" borderId="0" xfId="0" applyNumberFormat="1" applyFont="1" applyFill="1" applyProtection="1">
      <protection locked="0"/>
    </xf>
    <xf numFmtId="37" fontId="3" fillId="7" borderId="1" xfId="0" applyNumberFormat="1" applyFont="1" applyFill="1" applyBorder="1" applyProtection="1"/>
    <xf numFmtId="164" fontId="13" fillId="7" borderId="0" xfId="0" applyNumberFormat="1" applyFont="1" applyFill="1" applyProtection="1">
      <protection locked="0"/>
    </xf>
    <xf numFmtId="165" fontId="3" fillId="7" borderId="0" xfId="0" applyNumberFormat="1" applyFont="1" applyFill="1" applyProtection="1"/>
    <xf numFmtId="164" fontId="3" fillId="7" borderId="1" xfId="0" applyNumberFormat="1" applyFont="1" applyFill="1" applyBorder="1" applyProtection="1"/>
    <xf numFmtId="164" fontId="13" fillId="7" borderId="0" xfId="0" applyNumberFormat="1" applyFont="1" applyFill="1" applyBorder="1" applyProtection="1">
      <protection locked="0"/>
    </xf>
    <xf numFmtId="0" fontId="5" fillId="7" borderId="0" xfId="0" applyFont="1" applyFill="1" applyAlignment="1" applyProtection="1">
      <alignment horizontal="center"/>
      <protection locked="0"/>
    </xf>
    <xf numFmtId="0" fontId="7" fillId="7" borderId="0" xfId="0" applyFont="1" applyFill="1" applyBorder="1" applyAlignment="1" applyProtection="1">
      <alignment horizontal="center"/>
      <protection locked="0"/>
    </xf>
    <xf numFmtId="37" fontId="4" fillId="7" borderId="0" xfId="0" applyNumberFormat="1" applyFont="1" applyFill="1" applyBorder="1" applyProtection="1"/>
    <xf numFmtId="37" fontId="3" fillId="7" borderId="0" xfId="0" applyNumberFormat="1" applyFont="1" applyFill="1" applyProtection="1">
      <protection locked="0"/>
    </xf>
    <xf numFmtId="164" fontId="6" fillId="7" borderId="0" xfId="0" applyNumberFormat="1" applyFont="1" applyFill="1" applyProtection="1"/>
    <xf numFmtId="37" fontId="3" fillId="7" borderId="0" xfId="0" applyNumberFormat="1" applyFont="1" applyFill="1" applyProtection="1"/>
    <xf numFmtId="164" fontId="3" fillId="7" borderId="0" xfId="0" applyNumberFormat="1" applyFont="1" applyFill="1" applyProtection="1"/>
    <xf numFmtId="37" fontId="3" fillId="7" borderId="0" xfId="0" applyNumberFormat="1" applyFont="1" applyFill="1"/>
    <xf numFmtId="0" fontId="3" fillId="7" borderId="0" xfId="0" applyFont="1" applyFill="1" applyBorder="1" applyAlignment="1" applyProtection="1">
      <alignment horizontal="center"/>
      <protection locked="0"/>
    </xf>
    <xf numFmtId="0" fontId="6" fillId="7" borderId="0" xfId="0" applyFont="1" applyFill="1" applyBorder="1" applyAlignment="1" applyProtection="1">
      <alignment horizontal="right"/>
      <protection locked="0"/>
    </xf>
    <xf numFmtId="164" fontId="6" fillId="7" borderId="0" xfId="0" applyNumberFormat="1" applyFont="1" applyFill="1" applyBorder="1" applyProtection="1"/>
    <xf numFmtId="0" fontId="6" fillId="7" borderId="0" xfId="0" applyFont="1" applyFill="1"/>
    <xf numFmtId="37" fontId="6" fillId="7" borderId="0" xfId="0" applyNumberFormat="1" applyFont="1" applyFill="1" applyProtection="1"/>
    <xf numFmtId="37" fontId="6" fillId="7" borderId="0" xfId="0" applyNumberFormat="1" applyFont="1" applyFill="1" applyProtection="1">
      <protection locked="0"/>
    </xf>
    <xf numFmtId="37" fontId="4" fillId="7" borderId="1" xfId="0" applyNumberFormat="1" applyFont="1" applyFill="1" applyBorder="1" applyProtection="1"/>
    <xf numFmtId="39" fontId="3" fillId="7" borderId="0" xfId="0" applyNumberFormat="1" applyFont="1" applyFill="1"/>
    <xf numFmtId="39" fontId="5" fillId="7" borderId="0" xfId="0" applyNumberFormat="1" applyFont="1" applyFill="1"/>
    <xf numFmtId="0" fontId="7" fillId="7" borderId="3" xfId="0" applyFont="1" applyFill="1" applyBorder="1" applyAlignment="1">
      <alignment horizontal="center"/>
    </xf>
    <xf numFmtId="37" fontId="5" fillId="7" borderId="0" xfId="0" applyNumberFormat="1" applyFont="1" applyFill="1"/>
    <xf numFmtId="0" fontId="11" fillId="7" borderId="0" xfId="0" applyFont="1" applyFill="1" applyBorder="1"/>
    <xf numFmtId="37" fontId="6" fillId="7" borderId="2" xfId="0" applyNumberFormat="1" applyFont="1" applyFill="1" applyBorder="1" applyProtection="1">
      <protection locked="0"/>
    </xf>
    <xf numFmtId="37" fontId="4" fillId="7" borderId="1" xfId="0" applyNumberFormat="1" applyFont="1" applyFill="1" applyBorder="1" applyProtection="1">
      <protection locked="0"/>
    </xf>
    <xf numFmtId="37" fontId="3" fillId="7" borderId="0" xfId="0" applyNumberFormat="1" applyFont="1" applyFill="1" applyBorder="1" applyProtection="1">
      <protection locked="0"/>
    </xf>
    <xf numFmtId="37" fontId="3" fillId="7" borderId="1" xfId="0" applyNumberFormat="1" applyFont="1" applyFill="1" applyBorder="1" applyProtection="1">
      <protection locked="0"/>
    </xf>
    <xf numFmtId="37" fontId="13" fillId="7" borderId="0" xfId="0" applyNumberFormat="1" applyFont="1" applyFill="1" applyBorder="1" applyProtection="1">
      <protection locked="0"/>
    </xf>
    <xf numFmtId="37" fontId="13" fillId="7" borderId="2" xfId="0" applyNumberFormat="1" applyFont="1" applyFill="1" applyBorder="1" applyProtection="1">
      <protection locked="0"/>
    </xf>
    <xf numFmtId="37" fontId="4" fillId="7" borderId="20" xfId="0" applyNumberFormat="1" applyFont="1" applyFill="1" applyBorder="1" applyProtection="1"/>
    <xf numFmtId="37" fontId="6" fillId="7" borderId="3" xfId="0" applyNumberFormat="1" applyFont="1" applyFill="1" applyBorder="1" applyProtection="1">
      <protection locked="0"/>
    </xf>
    <xf numFmtId="37" fontId="3" fillId="7" borderId="3" xfId="0" applyNumberFormat="1" applyFont="1" applyFill="1" applyBorder="1"/>
    <xf numFmtId="168" fontId="3" fillId="7" borderId="0" xfId="4" applyNumberFormat="1" applyFont="1" applyFill="1" applyProtection="1"/>
    <xf numFmtId="37" fontId="3" fillId="7" borderId="0" xfId="4" applyNumberFormat="1" applyFont="1" applyFill="1" applyProtection="1"/>
    <xf numFmtId="37" fontId="3" fillId="7" borderId="16" xfId="4" applyNumberFormat="1" applyFont="1" applyFill="1" applyBorder="1" applyProtection="1"/>
    <xf numFmtId="167" fontId="3" fillId="7" borderId="0" xfId="4" quotePrefix="1" applyNumberFormat="1" applyFont="1" applyFill="1" applyBorder="1" applyProtection="1"/>
    <xf numFmtId="37" fontId="13" fillId="7" borderId="0" xfId="0" applyNumberFormat="1" applyFont="1" applyFill="1" applyProtection="1"/>
    <xf numFmtId="37" fontId="3" fillId="7" borderId="0" xfId="0" applyNumberFormat="1" applyFont="1" applyFill="1" applyBorder="1" applyProtection="1"/>
    <xf numFmtId="39" fontId="3" fillId="4" borderId="23" xfId="0" applyNumberFormat="1" applyFont="1" applyFill="1" applyBorder="1"/>
    <xf numFmtId="0" fontId="0" fillId="0" borderId="0" xfId="0"/>
    <xf numFmtId="0" fontId="3" fillId="0" borderId="0" xfId="0" applyFont="1"/>
    <xf numFmtId="37" fontId="3" fillId="0" borderId="0" xfId="0" applyNumberFormat="1" applyFont="1"/>
    <xf numFmtId="0" fontId="3" fillId="0" borderId="0" xfId="0" applyFont="1" applyAlignment="1">
      <alignment horizontal="center"/>
    </xf>
    <xf numFmtId="0" fontId="3" fillId="0" borderId="24" xfId="0" applyFont="1" applyBorder="1"/>
    <xf numFmtId="166" fontId="3" fillId="0" borderId="0" xfId="3" applyNumberFormat="1" applyFont="1" applyBorder="1"/>
    <xf numFmtId="37" fontId="3" fillId="0" borderId="25" xfId="0" applyNumberFormat="1" applyFont="1" applyBorder="1"/>
    <xf numFmtId="37" fontId="3" fillId="0" borderId="1" xfId="0" applyNumberFormat="1" applyFont="1" applyBorder="1"/>
    <xf numFmtId="0" fontId="15" fillId="0" borderId="0" xfId="0" applyFont="1"/>
    <xf numFmtId="0" fontId="3" fillId="0" borderId="0" xfId="6" applyFont="1"/>
    <xf numFmtId="170" fontId="3" fillId="0" borderId="0" xfId="0" applyNumberFormat="1" applyFont="1"/>
    <xf numFmtId="171" fontId="3" fillId="0" borderId="0" xfId="0" applyNumberFormat="1" applyFont="1"/>
    <xf numFmtId="0" fontId="3" fillId="0" borderId="1" xfId="0" applyFont="1" applyBorder="1"/>
    <xf numFmtId="0" fontId="3" fillId="0" borderId="0" xfId="0" applyFont="1" applyBorder="1"/>
    <xf numFmtId="170" fontId="3" fillId="0" borderId="26" xfId="7" applyNumberFormat="1" applyFont="1" applyFill="1" applyBorder="1"/>
    <xf numFmtId="172" fontId="3" fillId="0" borderId="26" xfId="8" applyNumberFormat="1" applyFont="1" applyBorder="1"/>
    <xf numFmtId="166" fontId="3" fillId="0" borderId="26" xfId="8" applyNumberFormat="1" applyFont="1" applyBorder="1"/>
    <xf numFmtId="170" fontId="3" fillId="0" borderId="26" xfId="7" applyNumberFormat="1" applyFont="1" applyBorder="1"/>
    <xf numFmtId="171" fontId="3" fillId="0" borderId="26" xfId="8" applyNumberFormat="1" applyFont="1" applyBorder="1"/>
    <xf numFmtId="172" fontId="3" fillId="0" borderId="0" xfId="8" applyNumberFormat="1" applyFont="1"/>
    <xf numFmtId="166" fontId="3" fillId="0" borderId="0" xfId="3" applyNumberFormat="1" applyFont="1"/>
    <xf numFmtId="37" fontId="3" fillId="0" borderId="0" xfId="7" applyNumberFormat="1" applyFont="1"/>
    <xf numFmtId="3" fontId="3" fillId="0" borderId="0" xfId="0" applyNumberFormat="1" applyFont="1"/>
    <xf numFmtId="171" fontId="3" fillId="0" borderId="0" xfId="3" applyNumberFormat="1" applyFont="1"/>
    <xf numFmtId="41" fontId="3" fillId="0" borderId="0" xfId="9" applyNumberFormat="1" applyFont="1"/>
    <xf numFmtId="172" fontId="3" fillId="0" borderId="0" xfId="8" applyNumberFormat="1" applyFont="1" applyFill="1"/>
    <xf numFmtId="41" fontId="3" fillId="0" borderId="0" xfId="9" applyNumberFormat="1" applyFont="1" applyFill="1"/>
    <xf numFmtId="173" fontId="3" fillId="0" borderId="0" xfId="9" applyNumberFormat="1" applyFont="1"/>
    <xf numFmtId="171" fontId="3" fillId="0" borderId="0" xfId="8" applyNumberFormat="1" applyFont="1"/>
    <xf numFmtId="41" fontId="3" fillId="0" borderId="0" xfId="9" applyNumberFormat="1" applyFont="1" applyAlignment="1">
      <alignment horizontal="right"/>
    </xf>
    <xf numFmtId="41" fontId="3" fillId="0" borderId="0" xfId="9" applyNumberFormat="1" applyFont="1" applyFill="1" applyAlignment="1">
      <alignment horizontal="right"/>
    </xf>
    <xf numFmtId="42" fontId="3" fillId="0" borderId="0" xfId="9" applyNumberFormat="1" applyFont="1" applyAlignment="1">
      <alignment horizontal="right"/>
    </xf>
    <xf numFmtId="42" fontId="3" fillId="0" borderId="0" xfId="9" applyNumberFormat="1" applyFont="1" applyFill="1" applyAlignment="1">
      <alignment horizontal="right"/>
    </xf>
    <xf numFmtId="0" fontId="3" fillId="0" borderId="0" xfId="4" quotePrefix="1" applyFont="1" applyFill="1" applyBorder="1" applyAlignment="1">
      <alignment horizontal="center"/>
    </xf>
    <xf numFmtId="0" fontId="3" fillId="0" borderId="0" xfId="4" applyFont="1" applyFill="1" applyBorder="1" applyAlignment="1">
      <alignment horizontal="center" wrapText="1"/>
    </xf>
    <xf numFmtId="0" fontId="3" fillId="0" borderId="0" xfId="4" applyFont="1" applyFill="1" applyBorder="1" applyAlignment="1">
      <alignment horizontal="center"/>
    </xf>
    <xf numFmtId="0" fontId="3" fillId="0" borderId="0" xfId="4" applyFont="1" applyBorder="1" applyAlignment="1">
      <alignment horizontal="center" wrapText="1"/>
    </xf>
    <xf numFmtId="0" fontId="3" fillId="0" borderId="0" xfId="4" quotePrefix="1" applyFont="1" applyBorder="1" applyAlignment="1">
      <alignment horizontal="center"/>
    </xf>
    <xf numFmtId="0" fontId="3" fillId="0" borderId="3" xfId="4" quotePrefix="1" applyFont="1" applyFill="1" applyBorder="1" applyAlignment="1">
      <alignment horizontal="center"/>
    </xf>
    <xf numFmtId="0" fontId="3" fillId="0" borderId="3" xfId="0" applyFont="1" applyBorder="1" applyAlignment="1">
      <alignment horizontal="center"/>
    </xf>
    <xf numFmtId="0" fontId="3" fillId="0" borderId="0" xfId="4" applyFont="1" applyFill="1" applyAlignment="1">
      <alignment horizontal="center"/>
    </xf>
    <xf numFmtId="0" fontId="6" fillId="0" borderId="0" xfId="4" applyFont="1" applyAlignment="1">
      <alignment horizontal="center"/>
    </xf>
    <xf numFmtId="10" fontId="6" fillId="6" borderId="0" xfId="3" applyNumberFormat="1" applyFont="1" applyFill="1" applyAlignment="1">
      <alignment horizontal="center"/>
    </xf>
    <xf numFmtId="0" fontId="6" fillId="0" borderId="0" xfId="4" applyFont="1" applyAlignment="1">
      <alignment horizontal="centerContinuous"/>
    </xf>
    <xf numFmtId="0" fontId="13" fillId="0" borderId="0" xfId="4" applyFont="1" applyAlignment="1">
      <alignment horizontal="center"/>
    </xf>
    <xf numFmtId="0" fontId="3" fillId="0" borderId="0" xfId="4" applyFont="1" applyAlignment="1">
      <alignment horizontal="center"/>
    </xf>
    <xf numFmtId="174" fontId="4" fillId="0" borderId="0" xfId="10" applyFont="1" applyFill="1" applyBorder="1" applyAlignment="1">
      <alignment horizontal="left"/>
    </xf>
    <xf numFmtId="0" fontId="3" fillId="0" borderId="0" xfId="4" applyFont="1" applyAlignment="1"/>
    <xf numFmtId="0" fontId="9" fillId="0" borderId="0" xfId="0" applyFont="1" applyFill="1" applyAlignment="1">
      <alignment horizontal="center"/>
    </xf>
    <xf numFmtId="0" fontId="25" fillId="0" borderId="0" xfId="0" applyFont="1"/>
    <xf numFmtId="0" fontId="25" fillId="0" borderId="0" xfId="0" applyFont="1" applyAlignment="1">
      <alignment horizontal="center"/>
    </xf>
    <xf numFmtId="0" fontId="25" fillId="7" borderId="0" xfId="0" applyFont="1" applyFill="1" applyAlignment="1">
      <alignment horizontal="center"/>
    </xf>
    <xf numFmtId="0" fontId="25" fillId="7" borderId="0" xfId="4" applyFont="1" applyFill="1" applyAlignment="1">
      <alignment horizontal="center"/>
    </xf>
    <xf numFmtId="0" fontId="25" fillId="7" borderId="3" xfId="4" applyFont="1" applyFill="1" applyBorder="1" applyAlignment="1">
      <alignment horizontal="center"/>
    </xf>
    <xf numFmtId="0" fontId="25" fillId="7" borderId="3" xfId="0" applyFont="1" applyFill="1" applyBorder="1" applyAlignment="1">
      <alignment horizontal="center"/>
    </xf>
    <xf numFmtId="10" fontId="25" fillId="7" borderId="0" xfId="3" applyNumberFormat="1" applyFont="1" applyFill="1" applyAlignment="1">
      <alignment horizontal="center"/>
    </xf>
    <xf numFmtId="170" fontId="25" fillId="7" borderId="0" xfId="2" applyNumberFormat="1" applyFont="1" applyFill="1" applyAlignment="1">
      <alignment horizontal="center"/>
    </xf>
    <xf numFmtId="42" fontId="25" fillId="7" borderId="0" xfId="0" applyNumberFormat="1" applyFont="1" applyFill="1" applyAlignment="1">
      <alignment horizontal="center"/>
    </xf>
    <xf numFmtId="166" fontId="25" fillId="7" borderId="0" xfId="3" applyNumberFormat="1" applyFont="1" applyFill="1" applyAlignment="1">
      <alignment horizontal="center"/>
    </xf>
    <xf numFmtId="10" fontId="25" fillId="7" borderId="26" xfId="3" applyNumberFormat="1" applyFont="1" applyFill="1" applyBorder="1" applyAlignment="1">
      <alignment horizontal="center"/>
    </xf>
    <xf numFmtId="170" fontId="25" fillId="7" borderId="26" xfId="2" applyNumberFormat="1" applyFont="1" applyFill="1" applyBorder="1" applyAlignment="1">
      <alignment horizontal="center"/>
    </xf>
    <xf numFmtId="42" fontId="25" fillId="7" borderId="26" xfId="0" applyNumberFormat="1" applyFont="1" applyFill="1" applyBorder="1" applyAlignment="1">
      <alignment horizontal="center"/>
    </xf>
    <xf numFmtId="166" fontId="25" fillId="7" borderId="26" xfId="3" applyNumberFormat="1" applyFont="1" applyFill="1" applyBorder="1" applyAlignment="1">
      <alignment horizontal="center"/>
    </xf>
    <xf numFmtId="0" fontId="25" fillId="7" borderId="0" xfId="0" applyFont="1" applyFill="1" applyAlignment="1">
      <alignment horizontal="left"/>
    </xf>
    <xf numFmtId="44" fontId="25" fillId="7" borderId="0" xfId="2" applyFont="1" applyFill="1" applyBorder="1" applyAlignment="1">
      <alignment horizontal="left"/>
    </xf>
    <xf numFmtId="170" fontId="25" fillId="7" borderId="0" xfId="2" applyNumberFormat="1" applyFont="1" applyFill="1" applyBorder="1" applyAlignment="1">
      <alignment horizontal="left"/>
    </xf>
    <xf numFmtId="0" fontId="25" fillId="7" borderId="0" xfId="0" applyFont="1" applyFill="1" applyBorder="1" applyAlignment="1">
      <alignment horizontal="left"/>
    </xf>
    <xf numFmtId="0" fontId="25" fillId="7" borderId="0" xfId="0" applyFont="1" applyFill="1" applyBorder="1" applyAlignment="1">
      <alignment horizontal="center"/>
    </xf>
    <xf numFmtId="0" fontId="25" fillId="0" borderId="0" xfId="0" applyFont="1" applyFill="1" applyBorder="1" applyAlignment="1">
      <alignment horizontal="center"/>
    </xf>
    <xf numFmtId="0" fontId="25" fillId="7" borderId="0" xfId="0" applyFont="1" applyFill="1"/>
  </cellXfs>
  <cellStyles count="11">
    <cellStyle name="Comma" xfId="1" builtinId="3"/>
    <cellStyle name="Comma 2 2" xfId="9"/>
    <cellStyle name="Currency" xfId="2" builtinId="4"/>
    <cellStyle name="Currency 2" xfId="7"/>
    <cellStyle name="Normal" xfId="0" builtinId="0"/>
    <cellStyle name="Normal 2 10" xfId="6"/>
    <cellStyle name="Normal 2 5" xfId="4"/>
    <cellStyle name="Normal 3 3" xfId="10"/>
    <cellStyle name="Normal 38" xfId="5"/>
    <cellStyle name="Percent" xfId="3" builtinId="5"/>
    <cellStyle name="Percent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te%20Case%20Filings\DEK%20Electric%20Case%202011-00xxx%20Not%20Filed\COSS\2011-xxx_2010_TestYearCOSS%20FILE\DEK%20COMBINED%202011%20ELEC%20RATE%20CASE%20COSS_HistoricalSFR_PROPOS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LIENTS%20&amp;%20PROJECTS\Kroger%20-%20Kentucky\Duke%20Kentucky%202017-00321%20Rate%20Case\Kroger%20Testimony\JDB%20FIT%20adjustment%20WP%20based%20off%20Staff-DR-01-029__-_CO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Case%20Filings\DEK%20Electric%20Case%202010\COSS\ULHP%20Elec%202006%20COSS%20as%20Filed\12%20CP%20COSS%20and%20WPs\RS%20WITH%20FORMULAS%20ULHP_unbundled_Allocation_8%20761%20from%20Marle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ate%20Case%20Filings\DEK%20Electric%20Case%202017-00321\SFR%20Model\KPSC%20Electric%20SFRs-2017%20-%20Forecas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B ck"/>
      <sheetName val="WP Data Req Summary"/>
      <sheetName val="NOTES"/>
      <sheetName val="HEADERS"/>
      <sheetName val="SFR_tie"/>
      <sheetName val="macro"/>
      <sheetName val="coss"/>
      <sheetName val="allocators"/>
      <sheetName val="RS"/>
      <sheetName val="RS allocators"/>
      <sheetName val="DS"/>
      <sheetName val="DS allocators"/>
      <sheetName val="DS-RTP"/>
      <sheetName val="DS-RTP allocators"/>
      <sheetName val="GSFL"/>
      <sheetName val="GSFL allocators"/>
      <sheetName val="EH"/>
      <sheetName val="EH allocators"/>
      <sheetName val="SP"/>
      <sheetName val="SP allocators"/>
      <sheetName val="DT_SEC"/>
      <sheetName val="DT_SEC allocators"/>
      <sheetName val="DT_SEC_RTP"/>
      <sheetName val="DT_SEC_RTP allocators"/>
      <sheetName val="DT_PRI"/>
      <sheetName val="DT_PRI allocators"/>
      <sheetName val="DT_PRI_RTP"/>
      <sheetName val="DT_PRI_RTP allocators"/>
      <sheetName val="DP"/>
      <sheetName val="DP allocators"/>
      <sheetName val="TT"/>
      <sheetName val="TT allocators"/>
      <sheetName val="TT_RTP"/>
      <sheetName val="TT_RTP allocators"/>
      <sheetName val="LT"/>
      <sheetName val="LT allocators"/>
      <sheetName val="OTHER"/>
      <sheetName val="OTHER allocators"/>
      <sheetName val="P1of51 rateincr_exhibit"/>
      <sheetName val="print_macros"/>
      <sheetName val="P2of51-gen"/>
      <sheetName val="P3of51-dist"/>
      <sheetName val="P4of51-meters"/>
      <sheetName val="P5of51-CustAcct"/>
      <sheetName val="P6of51-Distlines"/>
      <sheetName val="P7of51-Wtd services"/>
      <sheetName val="P8of51 kwhanalysis"/>
      <sheetName val="P9of51 CP NCP sum"/>
      <sheetName val="P10of51 Sys Peak"/>
      <sheetName val="P11of51 RS"/>
      <sheetName val="P12 of51 "/>
      <sheetName val="P13to17of51DS Sec"/>
      <sheetName val="P18TO19of51DP Pri"/>
      <sheetName val="P20to21of51 TT"/>
      <sheetName val="P22of51 LT"/>
      <sheetName val="P23to24of51 DT Pri"/>
      <sheetName val="P25to26of51 DT Sec"/>
      <sheetName val="P27of51 OTHER"/>
      <sheetName val="p28OF51 GSFL"/>
      <sheetName val="p29OF51 EH"/>
      <sheetName val="p30OF51 sp"/>
      <sheetName val="p31to36of51 LossRatios"/>
      <sheetName val="P37of11 Load Res RS"/>
      <sheetName val="P38of51 Load Res DS"/>
      <sheetName val="P39of51 LoadRes DS_LG"/>
      <sheetName val="P40of51 LoadRes DP"/>
      <sheetName val="P41of51 LoadRes DTSEC"/>
      <sheetName val="P42of51 DTPRI"/>
      <sheetName val="P43of51LoadRes EH"/>
      <sheetName val="p44of51LoadRes TT"/>
      <sheetName val="P45of51Conduct&amp;dev"/>
      <sheetName val="P46of51Service cost wgt"/>
      <sheetName val="P47of51 901 - 913 AcctSum "/>
      <sheetName val="P48of51 BurnHours"/>
      <sheetName val="P49of51 2010KWH"/>
      <sheetName val="P50of51 2010CUST"/>
      <sheetName val="P51of51 Func labor"/>
      <sheetName val="51backup"/>
      <sheetName val="PRINT"/>
    </sheetNames>
    <sheetDataSet>
      <sheetData sheetId="0"/>
      <sheetData sheetId="1" refreshError="1"/>
      <sheetData sheetId="2"/>
      <sheetData sheetId="3">
        <row r="2">
          <cell r="F2" t="str">
            <v>TBD</v>
          </cell>
        </row>
      </sheetData>
      <sheetData sheetId="4"/>
      <sheetData sheetId="5"/>
      <sheetData sheetId="6">
        <row r="313">
          <cell r="J313">
            <v>605180442</v>
          </cell>
        </row>
      </sheetData>
      <sheetData sheetId="7">
        <row r="1">
          <cell r="V1" t="str">
            <v>FR-9v-1</v>
          </cell>
        </row>
      </sheetData>
      <sheetData sheetId="8"/>
      <sheetData sheetId="9">
        <row r="9">
          <cell r="D9" t="str">
            <v>K_rbprod_d</v>
          </cell>
        </row>
      </sheetData>
      <sheetData sheetId="10"/>
      <sheetData sheetId="11">
        <row r="9">
          <cell r="D9" t="str">
            <v>K_rbprod_d</v>
          </cell>
        </row>
      </sheetData>
      <sheetData sheetId="12"/>
      <sheetData sheetId="13">
        <row r="9">
          <cell r="D9" t="str">
            <v>K_rbprod_d</v>
          </cell>
        </row>
      </sheetData>
      <sheetData sheetId="14"/>
      <sheetData sheetId="15">
        <row r="9">
          <cell r="D9" t="str">
            <v>K_rbprod_d</v>
          </cell>
        </row>
      </sheetData>
      <sheetData sheetId="16"/>
      <sheetData sheetId="17">
        <row r="9">
          <cell r="D9" t="str">
            <v>K_rbprod_d</v>
          </cell>
        </row>
      </sheetData>
      <sheetData sheetId="18"/>
      <sheetData sheetId="19">
        <row r="9">
          <cell r="D9" t="str">
            <v>K_rbprod_d</v>
          </cell>
        </row>
      </sheetData>
      <sheetData sheetId="20"/>
      <sheetData sheetId="21">
        <row r="9">
          <cell r="D9" t="str">
            <v>K_rbprod_d</v>
          </cell>
        </row>
      </sheetData>
      <sheetData sheetId="22"/>
      <sheetData sheetId="23">
        <row r="9">
          <cell r="D9" t="str">
            <v>K_rbprod_d</v>
          </cell>
        </row>
      </sheetData>
      <sheetData sheetId="24"/>
      <sheetData sheetId="25">
        <row r="9">
          <cell r="D9" t="str">
            <v>K_rbprod_d</v>
          </cell>
        </row>
      </sheetData>
      <sheetData sheetId="26"/>
      <sheetData sheetId="27">
        <row r="9">
          <cell r="D9" t="str">
            <v>K_rbprod_d</v>
          </cell>
        </row>
      </sheetData>
      <sheetData sheetId="28"/>
      <sheetData sheetId="29">
        <row r="9">
          <cell r="D9" t="str">
            <v>K_rbprod_d</v>
          </cell>
        </row>
      </sheetData>
      <sheetData sheetId="30"/>
      <sheetData sheetId="31">
        <row r="9">
          <cell r="D9" t="str">
            <v>K_rbprod_d</v>
          </cell>
        </row>
      </sheetData>
      <sheetData sheetId="32"/>
      <sheetData sheetId="33">
        <row r="9">
          <cell r="D9" t="str">
            <v>K_rbprod_d</v>
          </cell>
        </row>
      </sheetData>
      <sheetData sheetId="34"/>
      <sheetData sheetId="35">
        <row r="9">
          <cell r="D9" t="str">
            <v>K_rbprod_d</v>
          </cell>
        </row>
      </sheetData>
      <sheetData sheetId="36"/>
      <sheetData sheetId="37">
        <row r="9">
          <cell r="D9" t="str">
            <v>K_rbprod_d</v>
          </cell>
        </row>
      </sheetData>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amp; Input"/>
      <sheetName val="Rev req link"/>
      <sheetName val="CustomerCharge"/>
      <sheetName val="JDB-WP FR-16(7)(v)-1"/>
      <sheetName val="FR-16(7)(v)-2 PROD Classified"/>
      <sheetName val="FR-16(7)(v)-3 PROD Demand"/>
      <sheetName val="FR-16(7)(v)-4 PROD Energy"/>
      <sheetName val="FR-16(7)(v)-5 PROD Cust"/>
      <sheetName val="FR-16(7)(v)-6 TRANS Classified"/>
      <sheetName val="FR-16(7)(v)-7 TRANS Demand"/>
      <sheetName val="FR-16(7)(v)-8 TRANS Energy"/>
      <sheetName val="FR-16(7)(v)-9 TRANS Cust"/>
      <sheetName val="FR-16(7)(v)-10 DIST Classified"/>
      <sheetName val="FR-16(7)(v)-11 DIST Demand"/>
      <sheetName val="FR-16(7)(v)-12 DIST Energy"/>
      <sheetName val="FR-16(7)(v)-13 DIST Cust"/>
      <sheetName val="Allocated COSS Check Total"/>
      <sheetName val="FR-16(7)(v)-14 TOTAL CLASS"/>
      <sheetName val="FR-16(7)(v)-15 RES Classified"/>
      <sheetName val="FR-16(7)(v)-16 DS Classified"/>
      <sheetName val="FR-16(7)(v)-17 GSFL Classified"/>
      <sheetName val="FR-16(7)(v)-18 EH Classified"/>
      <sheetName val="FR-16(7)(v)-19 SP Classified"/>
      <sheetName val="FR-16(7)(v)-20 DTS Classified"/>
      <sheetName val="FR-16(7)(v)-21 DTP Classified"/>
      <sheetName val="FR-16(7)(v)-22 DP Classified"/>
      <sheetName val="FR-16(7)(v)-23 TT Classified"/>
      <sheetName val="FR-16(7)(v)-24 LT Classified"/>
      <sheetName val="FR-16(7)(v)-25 OTH Classified"/>
      <sheetName val="Input Data"/>
      <sheetName val="WP FR-16(7)(v)-KW &amp; KWH @Gen"/>
      <sheetName val="WP FR-16(7)(v)-KW &amp; KWH @Dist"/>
      <sheetName val="WP FR-16(7)(v) Meters"/>
      <sheetName val="WP FR-16(7)(v) CustAcct"/>
      <sheetName val="WP FR-16(7)(v) Distlines"/>
      <sheetName val="WP FR-16(7)(v) Wtd services"/>
      <sheetName val="WP FR-16(7)(v) kwh analysis"/>
      <sheetName val="WP FR-16(7)(v) CP NCP sum"/>
      <sheetName val="WP FR-16(7)(v) Sys Peak"/>
      <sheetName val="WP FR-16(7)(v) RS - KW"/>
      <sheetName val="WP FR-16(7)(v) DS Tot - KW"/>
      <sheetName val="WP FR-16(7)(v) DS Sec - KW"/>
      <sheetName val="WP FR-16(7)(v) DP Pri - KW"/>
      <sheetName val="WP FR-16(7)(v) TT - KW"/>
      <sheetName val="WP FR-16(7)(v) LT - KW"/>
      <sheetName val="WP FR-16(7)(v) DT Pri - KW"/>
      <sheetName val="WP FR-16(7)(v) DT Sec - KW"/>
      <sheetName val="WP FR-16(7)(v) OTHER - KW"/>
      <sheetName val="WP FR-16(7)(v) GSFL - KW"/>
      <sheetName val="WP FR-16(7)(v) EH - KW"/>
      <sheetName val="WP FR-16(7)(v) SP - KW"/>
      <sheetName val="WP FR-16(7)(v) LossRatios"/>
      <sheetName val="WP FR-16(7)(v) Load Res RS"/>
      <sheetName val="WP FR-16(7)(v) LoadRes DS"/>
      <sheetName val="WP FR-16(7)(v) LoadRes DS_LG"/>
      <sheetName val="WP FR-16(7)(v) LoadRes DP"/>
      <sheetName val="WP FR-16(7)(v) LoadRes DTSEC"/>
      <sheetName val="WP FR-16(7)(v) LoadRes DTPRI"/>
      <sheetName val="WP FR-16(7)(v) LoadRes EH"/>
      <sheetName val="WP FR-16(7)(v) LoadRes TT"/>
      <sheetName val="WP FR-16(7)(v) Conduct&amp;dev"/>
      <sheetName val="WP FR-16(7)(v) Serv cost wgt"/>
      <sheetName val="WP FR-16(7)(v) BurnHours"/>
      <sheetName val="WP FR-16(7)(v) KWH"/>
      <sheetName val="WP FR-16(7)(v) AVG CUST"/>
      <sheetName val="WP FR-16(7)(v) Min Siz Trans 1"/>
      <sheetName val="WP FR-16(7)(v) Min Siz Trans 2"/>
      <sheetName val="WP FR-16(7)(v) MinSizPrimPole1"/>
      <sheetName val="WP FR-16(7)(v) MinSizPrimPole2"/>
      <sheetName val="WP FR-16(7)(v) MinSizSecPole1"/>
      <sheetName val="WP FR-16(7)(v) MinSizSecPole2"/>
      <sheetName val="WP FR-16(7)(v) MinSizOHPRIM1"/>
      <sheetName val="WP FR-16(7)(v) MinSizeOHPRIM2"/>
      <sheetName val="WP FR-16(7)(v) MinSizOHSEC1"/>
      <sheetName val="WP FR-16(7)(v) MinSizOHSEC2"/>
      <sheetName val="WP FR-16(7)(v) MinSizUGPRIM1"/>
      <sheetName val="WP FR-16(7)(v) MinSizUGPRIM2"/>
      <sheetName val="WP FR-16(7)(v) MinSizUGSEC1"/>
      <sheetName val="WP FR-16(7)(v) MinSizUGSEC2"/>
      <sheetName val="Minimum Size Summary"/>
      <sheetName val="WP FR-16(7)(v) A&amp;G WP"/>
      <sheetName val="WP FR-16(7)(v) Pres NOI"/>
      <sheetName val="WP FR-16(7)(v) Rate Incr"/>
    </sheetNames>
    <sheetDataSet>
      <sheetData sheetId="0">
        <row r="1">
          <cell r="A1" t="str">
            <v>DUKE ENERGY KENTUCKY, INC.</v>
          </cell>
          <cell r="D1" t="str">
            <v>No</v>
          </cell>
        </row>
        <row r="2">
          <cell r="A2" t="str">
            <v xml:space="preserve">ELECTRIC COST OF SERVICE STUDY </v>
          </cell>
          <cell r="D2">
            <v>18</v>
          </cell>
        </row>
        <row r="3">
          <cell r="A3" t="str">
            <v>CASE NO: 2017-00321</v>
          </cell>
          <cell r="D3">
            <v>15</v>
          </cell>
        </row>
        <row r="4">
          <cell r="A4" t="str">
            <v>TWELVE MONTHS ENDING DECEMBER 31, 2018</v>
          </cell>
        </row>
        <row r="5">
          <cell r="A5" t="str">
            <v>DATA: 12 MONTHS ACTUAL  &amp; 0 MONTHS ESTIMATED</v>
          </cell>
        </row>
        <row r="6">
          <cell r="A6" t="str">
            <v>JAMES E. ZIOLKOWSKI</v>
          </cell>
        </row>
        <row r="7">
          <cell r="A7" t="str">
            <v>JAMES A. RIDDLE</v>
          </cell>
        </row>
        <row r="8">
          <cell r="A8" t="str">
            <v xml:space="preserve">TYPE OF FILING: "X" ORIGINAL   UPDATED    REVISED  </v>
          </cell>
        </row>
        <row r="9">
          <cell r="A9" t="str">
            <v>ALLOCATION FACTORS FOR COST OF SERVICE STUDY</v>
          </cell>
        </row>
        <row r="10">
          <cell r="A10" t="str">
            <v>TWELVE MONTHS ENDING DECEMBER 31, 2018</v>
          </cell>
        </row>
        <row r="11">
          <cell r="A11" t="str">
            <v>TOTAL KW (12 COIN PEAK)</v>
          </cell>
        </row>
      </sheetData>
      <sheetData sheetId="1"/>
      <sheetData sheetId="2"/>
      <sheetData sheetId="3">
        <row r="713">
          <cell r="F713">
            <v>0.25222709579999997</v>
          </cell>
        </row>
        <row r="777">
          <cell r="F777">
            <v>522765867</v>
          </cell>
        </row>
        <row r="780">
          <cell r="F780">
            <v>1069192372</v>
          </cell>
        </row>
        <row r="795">
          <cell r="F795">
            <v>7.0830000000000004E-2</v>
          </cell>
        </row>
        <row r="799">
          <cell r="F799">
            <v>0.21</v>
          </cell>
        </row>
        <row r="800">
          <cell r="F800">
            <v>5.3452019999999996E-2</v>
          </cell>
        </row>
        <row r="801">
          <cell r="F801">
            <v>0</v>
          </cell>
        </row>
        <row r="814">
          <cell r="F814">
            <v>710084</v>
          </cell>
          <cell r="G814">
            <v>710084</v>
          </cell>
          <cell r="H814">
            <v>0</v>
          </cell>
          <cell r="I814">
            <v>0</v>
          </cell>
        </row>
        <row r="815">
          <cell r="E815" t="str">
            <v>K201</v>
          </cell>
          <cell r="F815">
            <v>1</v>
          </cell>
          <cell r="G815">
            <v>1</v>
          </cell>
          <cell r="H815">
            <v>0</v>
          </cell>
          <cell r="I815">
            <v>0</v>
          </cell>
        </row>
        <row r="816">
          <cell r="F816">
            <v>710084</v>
          </cell>
          <cell r="G816">
            <v>0</v>
          </cell>
          <cell r="H816">
            <v>710084</v>
          </cell>
          <cell r="I816">
            <v>0</v>
          </cell>
        </row>
        <row r="817">
          <cell r="E817" t="str">
            <v>K202</v>
          </cell>
          <cell r="F817">
            <v>1</v>
          </cell>
          <cell r="G817">
            <v>0</v>
          </cell>
          <cell r="H817">
            <v>1</v>
          </cell>
          <cell r="I817">
            <v>0</v>
          </cell>
        </row>
        <row r="818">
          <cell r="F818">
            <v>1503360</v>
          </cell>
          <cell r="G818">
            <v>0</v>
          </cell>
          <cell r="H818">
            <v>0</v>
          </cell>
          <cell r="I818">
            <v>1503360</v>
          </cell>
        </row>
        <row r="819">
          <cell r="E819" t="str">
            <v>K203</v>
          </cell>
          <cell r="F819">
            <v>1</v>
          </cell>
          <cell r="G819">
            <v>0</v>
          </cell>
          <cell r="H819">
            <v>0</v>
          </cell>
          <cell r="I819">
            <v>1</v>
          </cell>
        </row>
        <row r="820">
          <cell r="F820">
            <v>717613</v>
          </cell>
          <cell r="G820">
            <v>0</v>
          </cell>
          <cell r="H820">
            <v>0</v>
          </cell>
          <cell r="I820">
            <v>717613</v>
          </cell>
        </row>
        <row r="821">
          <cell r="E821" t="str">
            <v>K205</v>
          </cell>
          <cell r="F821">
            <v>1</v>
          </cell>
          <cell r="G821">
            <v>0</v>
          </cell>
          <cell r="H821">
            <v>0</v>
          </cell>
          <cell r="I821">
            <v>1</v>
          </cell>
        </row>
        <row r="822">
          <cell r="F822">
            <v>717613</v>
          </cell>
          <cell r="G822">
            <v>0</v>
          </cell>
          <cell r="H822">
            <v>0</v>
          </cell>
          <cell r="I822">
            <v>717613</v>
          </cell>
        </row>
        <row r="823">
          <cell r="E823" t="str">
            <v>K206</v>
          </cell>
          <cell r="F823">
            <v>1</v>
          </cell>
          <cell r="G823">
            <v>0</v>
          </cell>
          <cell r="H823">
            <v>0</v>
          </cell>
          <cell r="I823">
            <v>1</v>
          </cell>
        </row>
        <row r="824">
          <cell r="F824">
            <v>432487709</v>
          </cell>
          <cell r="G824">
            <v>0</v>
          </cell>
          <cell r="H824">
            <v>59521</v>
          </cell>
          <cell r="I824">
            <v>432428188</v>
          </cell>
        </row>
        <row r="825">
          <cell r="E825" t="str">
            <v>K209</v>
          </cell>
          <cell r="F825">
            <v>1</v>
          </cell>
          <cell r="G825">
            <v>0</v>
          </cell>
          <cell r="H825">
            <v>1.3999999999999999E-4</v>
          </cell>
          <cell r="I825">
            <v>0.99985999999999997</v>
          </cell>
        </row>
        <row r="826">
          <cell r="F826">
            <v>717613</v>
          </cell>
          <cell r="G826">
            <v>0</v>
          </cell>
          <cell r="H826">
            <v>0</v>
          </cell>
          <cell r="I826">
            <v>717613</v>
          </cell>
        </row>
        <row r="827">
          <cell r="E827" t="str">
            <v>K215</v>
          </cell>
          <cell r="F827">
            <v>1</v>
          </cell>
          <cell r="G827">
            <v>0</v>
          </cell>
          <cell r="H827">
            <v>0</v>
          </cell>
          <cell r="I827">
            <v>1</v>
          </cell>
        </row>
        <row r="828">
          <cell r="F828">
            <v>141934</v>
          </cell>
          <cell r="G828">
            <v>0</v>
          </cell>
          <cell r="H828">
            <v>0</v>
          </cell>
          <cell r="I828">
            <v>141934</v>
          </cell>
        </row>
        <row r="829">
          <cell r="E829" t="str">
            <v>K217</v>
          </cell>
          <cell r="F829">
            <v>1</v>
          </cell>
          <cell r="G829">
            <v>0</v>
          </cell>
          <cell r="H829">
            <v>0</v>
          </cell>
          <cell r="I829">
            <v>1</v>
          </cell>
        </row>
        <row r="830">
          <cell r="F830">
            <v>4196163573</v>
          </cell>
          <cell r="G830">
            <v>4196163573</v>
          </cell>
          <cell r="H830">
            <v>0</v>
          </cell>
          <cell r="I830">
            <v>0</v>
          </cell>
        </row>
        <row r="831">
          <cell r="E831" t="str">
            <v>K301</v>
          </cell>
          <cell r="F831">
            <v>1</v>
          </cell>
          <cell r="G831">
            <v>1</v>
          </cell>
          <cell r="H831">
            <v>0</v>
          </cell>
          <cell r="I831">
            <v>0</v>
          </cell>
        </row>
        <row r="832">
          <cell r="F832">
            <v>4196163573</v>
          </cell>
          <cell r="G832">
            <v>0</v>
          </cell>
          <cell r="H832">
            <v>0</v>
          </cell>
          <cell r="I832">
            <v>4196163573</v>
          </cell>
        </row>
        <row r="833">
          <cell r="E833" t="str">
            <v>K303</v>
          </cell>
          <cell r="F833">
            <v>1</v>
          </cell>
          <cell r="G833">
            <v>0</v>
          </cell>
          <cell r="H833">
            <v>0</v>
          </cell>
          <cell r="I833">
            <v>1</v>
          </cell>
        </row>
        <row r="834">
          <cell r="F834">
            <v>4176422231</v>
          </cell>
          <cell r="G834">
            <v>4176422231</v>
          </cell>
          <cell r="H834">
            <v>0</v>
          </cell>
          <cell r="I834">
            <v>0</v>
          </cell>
        </row>
        <row r="835">
          <cell r="E835" t="str">
            <v>K305</v>
          </cell>
          <cell r="F835">
            <v>1</v>
          </cell>
          <cell r="G835">
            <v>1</v>
          </cell>
          <cell r="H835">
            <v>0</v>
          </cell>
          <cell r="I835">
            <v>0</v>
          </cell>
        </row>
        <row r="836">
          <cell r="F836">
            <v>1</v>
          </cell>
          <cell r="G836">
            <v>0</v>
          </cell>
          <cell r="H836">
            <v>0</v>
          </cell>
          <cell r="I836">
            <v>1</v>
          </cell>
        </row>
        <row r="837">
          <cell r="E837" t="str">
            <v>K307</v>
          </cell>
          <cell r="F837">
            <v>1</v>
          </cell>
          <cell r="G837">
            <v>0</v>
          </cell>
          <cell r="H837">
            <v>0</v>
          </cell>
          <cell r="I837">
            <v>1</v>
          </cell>
        </row>
        <row r="838">
          <cell r="F838">
            <v>1</v>
          </cell>
          <cell r="G838">
            <v>0</v>
          </cell>
          <cell r="H838">
            <v>0</v>
          </cell>
          <cell r="I838">
            <v>1</v>
          </cell>
        </row>
        <row r="839">
          <cell r="E839" t="str">
            <v>K401</v>
          </cell>
          <cell r="F839">
            <v>1</v>
          </cell>
          <cell r="G839">
            <v>0</v>
          </cell>
          <cell r="H839">
            <v>0</v>
          </cell>
          <cell r="I839">
            <v>1</v>
          </cell>
        </row>
        <row r="840">
          <cell r="F840">
            <v>140014</v>
          </cell>
          <cell r="G840">
            <v>0</v>
          </cell>
          <cell r="H840">
            <v>0</v>
          </cell>
          <cell r="I840">
            <v>140014</v>
          </cell>
        </row>
        <row r="841">
          <cell r="E841" t="str">
            <v>K405</v>
          </cell>
          <cell r="F841">
            <v>1</v>
          </cell>
          <cell r="G841">
            <v>0</v>
          </cell>
          <cell r="H841">
            <v>0</v>
          </cell>
          <cell r="I841">
            <v>1</v>
          </cell>
        </row>
        <row r="842">
          <cell r="F842">
            <v>6350638</v>
          </cell>
          <cell r="G842">
            <v>0</v>
          </cell>
          <cell r="H842">
            <v>16048</v>
          </cell>
          <cell r="I842">
            <v>6334590</v>
          </cell>
        </row>
        <row r="843">
          <cell r="E843" t="str">
            <v>K407</v>
          </cell>
          <cell r="F843">
            <v>1</v>
          </cell>
          <cell r="G843">
            <v>0</v>
          </cell>
          <cell r="H843">
            <v>2.5300000000000001E-3</v>
          </cell>
          <cell r="I843">
            <v>0.99746999999999997</v>
          </cell>
        </row>
        <row r="844">
          <cell r="F844">
            <v>243058</v>
          </cell>
          <cell r="G844">
            <v>0</v>
          </cell>
          <cell r="H844">
            <v>0</v>
          </cell>
          <cell r="I844">
            <v>243058</v>
          </cell>
        </row>
        <row r="845">
          <cell r="E845" t="str">
            <v>K409</v>
          </cell>
          <cell r="F845">
            <v>1</v>
          </cell>
          <cell r="G845">
            <v>0</v>
          </cell>
          <cell r="H845">
            <v>0</v>
          </cell>
          <cell r="I845">
            <v>1</v>
          </cell>
        </row>
        <row r="846">
          <cell r="F846">
            <v>1498164.3299999998</v>
          </cell>
          <cell r="G846">
            <v>0</v>
          </cell>
          <cell r="H846">
            <v>9153</v>
          </cell>
          <cell r="I846">
            <v>1489011.3299999998</v>
          </cell>
        </row>
        <row r="847">
          <cell r="E847" t="str">
            <v>K411</v>
          </cell>
          <cell r="F847">
            <v>1</v>
          </cell>
          <cell r="G847">
            <v>0</v>
          </cell>
          <cell r="H847">
            <v>6.11E-3</v>
          </cell>
          <cell r="I847">
            <v>0.99389000000000005</v>
          </cell>
        </row>
        <row r="848">
          <cell r="F848">
            <v>4178319049</v>
          </cell>
          <cell r="G848">
            <v>4178319049</v>
          </cell>
          <cell r="H848">
            <v>0</v>
          </cell>
          <cell r="I848">
            <v>0</v>
          </cell>
        </row>
        <row r="849">
          <cell r="E849" t="str">
            <v>K302</v>
          </cell>
          <cell r="F849">
            <v>1</v>
          </cell>
          <cell r="G849">
            <v>1</v>
          </cell>
          <cell r="H849">
            <v>0</v>
          </cell>
          <cell r="I849">
            <v>0</v>
          </cell>
        </row>
        <row r="851">
          <cell r="E851" t="str">
            <v>R600</v>
          </cell>
          <cell r="F851">
            <v>304312778</v>
          </cell>
          <cell r="G851">
            <v>226218745</v>
          </cell>
          <cell r="H851">
            <v>24321663</v>
          </cell>
          <cell r="I851">
            <v>53772370</v>
          </cell>
        </row>
        <row r="852">
          <cell r="E852" t="str">
            <v>R602</v>
          </cell>
          <cell r="F852">
            <v>304312778</v>
          </cell>
          <cell r="G852">
            <v>178680291</v>
          </cell>
          <cell r="H852">
            <v>16082930</v>
          </cell>
          <cell r="I852">
            <v>109549557</v>
          </cell>
        </row>
        <row r="861">
          <cell r="F861" t="str">
            <v>TOTAL</v>
          </cell>
          <cell r="G861" t="str">
            <v>FUNCTIONAL</v>
          </cell>
        </row>
        <row r="862">
          <cell r="E862" t="str">
            <v>ALLO</v>
          </cell>
          <cell r="F862" t="str">
            <v>ELECTRIC</v>
          </cell>
          <cell r="G862" t="str">
            <v>PRODUCTION</v>
          </cell>
          <cell r="H862" t="str">
            <v>TRANSMISSION</v>
          </cell>
          <cell r="I862" t="str">
            <v>DISTRIBUTION</v>
          </cell>
        </row>
        <row r="863">
          <cell r="E863">
            <v>1</v>
          </cell>
          <cell r="F863">
            <v>2</v>
          </cell>
          <cell r="G863">
            <v>3</v>
          </cell>
          <cell r="H863">
            <v>4</v>
          </cell>
          <cell r="I863">
            <v>5</v>
          </cell>
        </row>
        <row r="865">
          <cell r="F865">
            <v>304312778</v>
          </cell>
          <cell r="G865">
            <v>226218745</v>
          </cell>
          <cell r="H865">
            <v>24321663</v>
          </cell>
          <cell r="I865">
            <v>53772370</v>
          </cell>
        </row>
        <row r="866">
          <cell r="E866" t="str">
            <v>K901</v>
          </cell>
          <cell r="F866">
            <v>1</v>
          </cell>
          <cell r="G866">
            <v>0.74338000000000004</v>
          </cell>
          <cell r="H866">
            <v>7.9920000000000005E-2</v>
          </cell>
          <cell r="I866">
            <v>0.1767</v>
          </cell>
        </row>
        <row r="867">
          <cell r="F867">
            <v>304312778</v>
          </cell>
          <cell r="G867">
            <v>178680291</v>
          </cell>
          <cell r="H867">
            <v>16082930</v>
          </cell>
          <cell r="I867">
            <v>109549557</v>
          </cell>
        </row>
        <row r="868">
          <cell r="E868" t="str">
            <v>K902</v>
          </cell>
          <cell r="F868">
            <v>1</v>
          </cell>
          <cell r="G868">
            <v>0.58716000000000002</v>
          </cell>
          <cell r="H868">
            <v>5.2850000000000001E-2</v>
          </cell>
          <cell r="I868">
            <v>0.35998999999999998</v>
          </cell>
        </row>
        <row r="872">
          <cell r="E872" t="str">
            <v>P129</v>
          </cell>
          <cell r="F872">
            <v>1</v>
          </cell>
          <cell r="G872">
            <v>1</v>
          </cell>
          <cell r="H872">
            <v>0</v>
          </cell>
          <cell r="I872">
            <v>0</v>
          </cell>
        </row>
        <row r="873">
          <cell r="E873" t="str">
            <v>T129</v>
          </cell>
          <cell r="F873">
            <v>1</v>
          </cell>
          <cell r="G873">
            <v>0</v>
          </cell>
          <cell r="H873">
            <v>1</v>
          </cell>
          <cell r="I873">
            <v>0</v>
          </cell>
        </row>
        <row r="874">
          <cell r="E874" t="str">
            <v>PT29</v>
          </cell>
          <cell r="F874">
            <v>1</v>
          </cell>
          <cell r="G874">
            <v>0.94518999999999997</v>
          </cell>
          <cell r="H874">
            <v>5.4809999999999998E-2</v>
          </cell>
          <cell r="I874">
            <v>0</v>
          </cell>
        </row>
        <row r="875">
          <cell r="E875" t="str">
            <v>D149</v>
          </cell>
          <cell r="F875">
            <v>1</v>
          </cell>
          <cell r="G875">
            <v>0</v>
          </cell>
          <cell r="H875">
            <v>1.3999999999999999E-4</v>
          </cell>
          <cell r="I875">
            <v>0.99985999999999997</v>
          </cell>
        </row>
        <row r="876">
          <cell r="E876" t="str">
            <v>TD29</v>
          </cell>
          <cell r="F876">
            <v>1</v>
          </cell>
          <cell r="G876">
            <v>0</v>
          </cell>
          <cell r="H876">
            <v>0.12252</v>
          </cell>
          <cell r="I876">
            <v>0.87748000000000004</v>
          </cell>
        </row>
        <row r="877">
          <cell r="E877" t="str">
            <v>PD29</v>
          </cell>
          <cell r="F877">
            <v>1</v>
          </cell>
          <cell r="G877">
            <v>0.67852000000000001</v>
          </cell>
          <cell r="H877">
            <v>3.9390000000000001E-2</v>
          </cell>
          <cell r="I877">
            <v>0.28208999999999995</v>
          </cell>
        </row>
        <row r="878">
          <cell r="E878" t="str">
            <v>G129</v>
          </cell>
          <cell r="F878">
            <v>1</v>
          </cell>
          <cell r="G878">
            <v>0.75300999999999996</v>
          </cell>
          <cell r="H878">
            <v>5.2839999999999998E-2</v>
          </cell>
          <cell r="I878">
            <v>0.19415000000000004</v>
          </cell>
        </row>
        <row r="879">
          <cell r="E879" t="str">
            <v>C129</v>
          </cell>
          <cell r="F879">
            <v>1</v>
          </cell>
          <cell r="G879">
            <v>0.75300999999999996</v>
          </cell>
          <cell r="H879">
            <v>5.2839999999999998E-2</v>
          </cell>
          <cell r="I879">
            <v>0.19415000000000004</v>
          </cell>
        </row>
        <row r="880">
          <cell r="E880" t="str">
            <v>GP19</v>
          </cell>
          <cell r="F880">
            <v>1</v>
          </cell>
          <cell r="G880">
            <v>0.68110000000000004</v>
          </cell>
          <cell r="H880">
            <v>3.9849999999999997E-2</v>
          </cell>
          <cell r="I880">
            <v>0.27905000000000002</v>
          </cell>
        </row>
        <row r="881">
          <cell r="E881" t="str">
            <v>DR19</v>
          </cell>
          <cell r="F881">
            <v>1</v>
          </cell>
          <cell r="G881">
            <v>0.78022000000000002</v>
          </cell>
          <cell r="H881">
            <v>2.563E-2</v>
          </cell>
          <cell r="I881">
            <v>0.19414999999999993</v>
          </cell>
        </row>
        <row r="884">
          <cell r="E884" t="str">
            <v>P229</v>
          </cell>
          <cell r="F884">
            <v>1</v>
          </cell>
          <cell r="G884">
            <v>1</v>
          </cell>
          <cell r="H884">
            <v>0</v>
          </cell>
          <cell r="I884">
            <v>0</v>
          </cell>
        </row>
        <row r="885">
          <cell r="E885" t="str">
            <v>T229</v>
          </cell>
          <cell r="F885">
            <v>1</v>
          </cell>
          <cell r="G885">
            <v>0</v>
          </cell>
          <cell r="H885">
            <v>1</v>
          </cell>
          <cell r="I885">
            <v>0</v>
          </cell>
        </row>
        <row r="886">
          <cell r="E886" t="str">
            <v>PL49</v>
          </cell>
          <cell r="F886">
            <v>1</v>
          </cell>
          <cell r="G886">
            <v>0</v>
          </cell>
          <cell r="H886">
            <v>0</v>
          </cell>
          <cell r="I886">
            <v>1</v>
          </cell>
        </row>
        <row r="887">
          <cell r="E887" t="str">
            <v>D249</v>
          </cell>
          <cell r="F887">
            <v>1</v>
          </cell>
          <cell r="G887">
            <v>0</v>
          </cell>
          <cell r="H887">
            <v>2.0000000000000001E-4</v>
          </cell>
          <cell r="I887">
            <v>0.99980000000000002</v>
          </cell>
        </row>
        <row r="888">
          <cell r="E888" t="str">
            <v>NT29</v>
          </cell>
          <cell r="F888">
            <v>1</v>
          </cell>
          <cell r="G888">
            <v>0.58377999999999997</v>
          </cell>
          <cell r="H888">
            <v>5.3469999999999997E-2</v>
          </cell>
          <cell r="I888">
            <v>0.36275000000000002</v>
          </cell>
        </row>
        <row r="889">
          <cell r="E889" t="str">
            <v>G229</v>
          </cell>
          <cell r="F889">
            <v>1</v>
          </cell>
          <cell r="G889">
            <v>0.72462000000000004</v>
          </cell>
          <cell r="H889">
            <v>5.2839999999999998E-2</v>
          </cell>
          <cell r="I889">
            <v>0.22253999999999996</v>
          </cell>
        </row>
        <row r="890">
          <cell r="E890" t="str">
            <v>C229</v>
          </cell>
          <cell r="F890">
            <v>1</v>
          </cell>
          <cell r="G890">
            <v>0.70404999999999995</v>
          </cell>
          <cell r="H890">
            <v>5.2839999999999998E-2</v>
          </cell>
          <cell r="I890">
            <v>0.24311000000000005</v>
          </cell>
        </row>
        <row r="891">
          <cell r="E891" t="str">
            <v>NP29</v>
          </cell>
          <cell r="F891">
            <v>1</v>
          </cell>
          <cell r="G891">
            <v>0.58630000000000004</v>
          </cell>
          <cell r="H891">
            <v>5.3460000000000001E-2</v>
          </cell>
          <cell r="I891">
            <v>0.36024</v>
          </cell>
        </row>
        <row r="894">
          <cell r="E894" t="str">
            <v>W669</v>
          </cell>
          <cell r="F894">
            <v>1</v>
          </cell>
          <cell r="G894">
            <v>0.83716000000000002</v>
          </cell>
          <cell r="H894">
            <v>1.9949999999999999E-2</v>
          </cell>
          <cell r="I894">
            <v>0.14288999999999999</v>
          </cell>
        </row>
        <row r="895">
          <cell r="E895" t="str">
            <v>W689</v>
          </cell>
          <cell r="F895">
            <v>1</v>
          </cell>
          <cell r="G895">
            <v>0</v>
          </cell>
          <cell r="H895">
            <v>0</v>
          </cell>
          <cell r="I895">
            <v>0</v>
          </cell>
        </row>
        <row r="896">
          <cell r="E896" t="str">
            <v>W719</v>
          </cell>
          <cell r="F896">
            <v>1</v>
          </cell>
          <cell r="G896">
            <v>1</v>
          </cell>
          <cell r="H896">
            <v>0</v>
          </cell>
          <cell r="I896">
            <v>0</v>
          </cell>
        </row>
        <row r="897">
          <cell r="E897" t="str">
            <v>W749</v>
          </cell>
          <cell r="F897">
            <v>1</v>
          </cell>
          <cell r="G897">
            <v>0</v>
          </cell>
          <cell r="H897">
            <v>0</v>
          </cell>
          <cell r="I897">
            <v>0</v>
          </cell>
        </row>
        <row r="898">
          <cell r="E898" t="str">
            <v>WC79</v>
          </cell>
          <cell r="F898">
            <v>1</v>
          </cell>
          <cell r="G898">
            <v>0.87953000000000003</v>
          </cell>
          <cell r="H898">
            <v>1.4760000000000001E-2</v>
          </cell>
          <cell r="I898">
            <v>0.10571</v>
          </cell>
        </row>
        <row r="901">
          <cell r="E901" t="str">
            <v>RB29</v>
          </cell>
          <cell r="F901">
            <v>1</v>
          </cell>
          <cell r="G901">
            <v>0.63963999999999999</v>
          </cell>
          <cell r="H901">
            <v>5.8279999999999998E-2</v>
          </cell>
          <cell r="I901">
            <v>0.30208000000000002</v>
          </cell>
        </row>
        <row r="902">
          <cell r="E902" t="str">
            <v>RB99</v>
          </cell>
          <cell r="F902">
            <v>1</v>
          </cell>
          <cell r="G902">
            <v>0.65891</v>
          </cell>
          <cell r="H902">
            <v>5.4789999999999998E-2</v>
          </cell>
          <cell r="I902">
            <v>0.2863</v>
          </cell>
        </row>
        <row r="903">
          <cell r="E903" t="str">
            <v>CW29</v>
          </cell>
          <cell r="F903">
            <v>1</v>
          </cell>
          <cell r="G903">
            <v>0</v>
          </cell>
          <cell r="H903">
            <v>0</v>
          </cell>
          <cell r="I903">
            <v>1</v>
          </cell>
        </row>
        <row r="912">
          <cell r="F912" t="str">
            <v>TOTAL</v>
          </cell>
          <cell r="G912" t="str">
            <v>FUNCTIONAL</v>
          </cell>
        </row>
        <row r="913">
          <cell r="E913" t="str">
            <v>ALLO</v>
          </cell>
          <cell r="F913" t="str">
            <v>ELECTRIC</v>
          </cell>
          <cell r="G913" t="str">
            <v>PRODUCTION</v>
          </cell>
          <cell r="H913" t="str">
            <v>TRANSMISSION</v>
          </cell>
          <cell r="I913" t="str">
            <v>DISTRIBUTION</v>
          </cell>
        </row>
        <row r="914">
          <cell r="E914">
            <v>1</v>
          </cell>
          <cell r="F914">
            <v>2</v>
          </cell>
          <cell r="G914">
            <v>3</v>
          </cell>
          <cell r="H914">
            <v>4</v>
          </cell>
          <cell r="I914">
            <v>5</v>
          </cell>
        </row>
        <row r="916">
          <cell r="E916" t="str">
            <v>P349</v>
          </cell>
          <cell r="F916">
            <v>1</v>
          </cell>
          <cell r="G916">
            <v>0</v>
          </cell>
          <cell r="H916">
            <v>0</v>
          </cell>
          <cell r="I916">
            <v>0</v>
          </cell>
        </row>
        <row r="917">
          <cell r="E917" t="str">
            <v>E349</v>
          </cell>
          <cell r="F917">
            <v>1</v>
          </cell>
          <cell r="G917">
            <v>1</v>
          </cell>
          <cell r="H917">
            <v>0</v>
          </cell>
          <cell r="I917">
            <v>0</v>
          </cell>
        </row>
        <row r="918">
          <cell r="E918" t="str">
            <v>P459</v>
          </cell>
          <cell r="F918">
            <v>1</v>
          </cell>
          <cell r="G918">
            <v>1</v>
          </cell>
          <cell r="H918">
            <v>0</v>
          </cell>
          <cell r="I918">
            <v>0</v>
          </cell>
        </row>
        <row r="919">
          <cell r="E919" t="str">
            <v>T349</v>
          </cell>
          <cell r="F919">
            <v>1</v>
          </cell>
          <cell r="G919">
            <v>0</v>
          </cell>
          <cell r="H919">
            <v>1</v>
          </cell>
          <cell r="I919">
            <v>0</v>
          </cell>
        </row>
        <row r="920">
          <cell r="E920" t="str">
            <v>D349</v>
          </cell>
          <cell r="F920">
            <v>1</v>
          </cell>
          <cell r="G920">
            <v>3.9320000000000001E-2</v>
          </cell>
          <cell r="H920">
            <v>6.9999999999999994E-5</v>
          </cell>
          <cell r="I920">
            <v>0.96062000000000003</v>
          </cell>
        </row>
        <row r="921">
          <cell r="E921" t="str">
            <v>C311</v>
          </cell>
          <cell r="F921">
            <v>1</v>
          </cell>
          <cell r="G921">
            <v>0</v>
          </cell>
          <cell r="H921">
            <v>6.11E-3</v>
          </cell>
          <cell r="I921">
            <v>0.99389000000000005</v>
          </cell>
        </row>
        <row r="922">
          <cell r="E922" t="str">
            <v>C319</v>
          </cell>
          <cell r="F922">
            <v>1</v>
          </cell>
          <cell r="G922">
            <v>0</v>
          </cell>
          <cell r="H922">
            <v>1.6299999999999999E-3</v>
          </cell>
          <cell r="I922">
            <v>0.99836999999999998</v>
          </cell>
        </row>
        <row r="923">
          <cell r="E923" t="str">
            <v>C331</v>
          </cell>
          <cell r="F923">
            <v>1</v>
          </cell>
          <cell r="G923">
            <v>0</v>
          </cell>
          <cell r="H923">
            <v>0</v>
          </cell>
          <cell r="I923">
            <v>1</v>
          </cell>
        </row>
        <row r="924">
          <cell r="E924" t="str">
            <v>S319</v>
          </cell>
          <cell r="F924">
            <v>1</v>
          </cell>
          <cell r="G924">
            <v>0</v>
          </cell>
          <cell r="H924">
            <v>0</v>
          </cell>
          <cell r="I924">
            <v>1</v>
          </cell>
        </row>
        <row r="925">
          <cell r="E925" t="str">
            <v>OM39</v>
          </cell>
          <cell r="F925">
            <v>1</v>
          </cell>
          <cell r="G925">
            <v>0.77196000000000009</v>
          </cell>
          <cell r="H925">
            <v>0.10412</v>
          </cell>
          <cell r="I925">
            <v>0.12391000000000001</v>
          </cell>
        </row>
        <row r="928">
          <cell r="E928" t="str">
            <v>A300</v>
          </cell>
          <cell r="F928">
            <v>1</v>
          </cell>
          <cell r="G928">
            <v>1</v>
          </cell>
          <cell r="H928">
            <v>0</v>
          </cell>
          <cell r="I928">
            <v>0</v>
          </cell>
        </row>
        <row r="929">
          <cell r="E929" t="str">
            <v>A302</v>
          </cell>
          <cell r="F929">
            <v>1</v>
          </cell>
          <cell r="G929">
            <v>1</v>
          </cell>
          <cell r="H929">
            <v>0</v>
          </cell>
          <cell r="I929">
            <v>0</v>
          </cell>
        </row>
        <row r="930">
          <cell r="E930" t="str">
            <v>A304</v>
          </cell>
          <cell r="F930">
            <v>1</v>
          </cell>
          <cell r="G930">
            <v>0</v>
          </cell>
          <cell r="H930">
            <v>1</v>
          </cell>
          <cell r="I930">
            <v>0</v>
          </cell>
        </row>
        <row r="931">
          <cell r="E931" t="str">
            <v>A306</v>
          </cell>
          <cell r="F931">
            <v>1</v>
          </cell>
          <cell r="G931">
            <v>3.9309999999999998E-2</v>
          </cell>
          <cell r="H931">
            <v>6.9999999999999994E-5</v>
          </cell>
          <cell r="I931">
            <v>0.96062000000000003</v>
          </cell>
        </row>
        <row r="932">
          <cell r="E932" t="str">
            <v>A308</v>
          </cell>
          <cell r="F932">
            <v>1</v>
          </cell>
          <cell r="G932">
            <v>0</v>
          </cell>
          <cell r="H932">
            <v>1.6299999999999999E-3</v>
          </cell>
          <cell r="I932">
            <v>0.99836999999999998</v>
          </cell>
        </row>
        <row r="933">
          <cell r="E933" t="str">
            <v>A310</v>
          </cell>
          <cell r="F933">
            <v>1</v>
          </cell>
          <cell r="G933">
            <v>0</v>
          </cell>
          <cell r="H933">
            <v>0</v>
          </cell>
          <cell r="I933">
            <v>1</v>
          </cell>
        </row>
        <row r="934">
          <cell r="E934" t="str">
            <v>A312</v>
          </cell>
          <cell r="F934">
            <v>1</v>
          </cell>
          <cell r="G934">
            <v>0</v>
          </cell>
          <cell r="H934">
            <v>0</v>
          </cell>
          <cell r="I934">
            <v>0</v>
          </cell>
        </row>
        <row r="935">
          <cell r="E935" t="str">
            <v>A315</v>
          </cell>
          <cell r="F935">
            <v>1</v>
          </cell>
          <cell r="G935">
            <v>0.58716000000000013</v>
          </cell>
          <cell r="H935">
            <v>5.2850000000000001E-2</v>
          </cell>
          <cell r="I935">
            <v>0.35998999999999998</v>
          </cell>
        </row>
        <row r="936">
          <cell r="E936" t="str">
            <v>A357</v>
          </cell>
          <cell r="F936">
            <v>1</v>
          </cell>
          <cell r="G936">
            <v>0.58716000000000002</v>
          </cell>
          <cell r="H936">
            <v>5.2850000000000001E-2</v>
          </cell>
          <cell r="I936">
            <v>0.35998999999999998</v>
          </cell>
        </row>
        <row r="939">
          <cell r="E939" t="str">
            <v>P489</v>
          </cell>
          <cell r="F939">
            <v>1</v>
          </cell>
          <cell r="G939">
            <v>1</v>
          </cell>
          <cell r="H939">
            <v>0</v>
          </cell>
          <cell r="I939">
            <v>0</v>
          </cell>
        </row>
        <row r="940">
          <cell r="E940" t="str">
            <v>T489</v>
          </cell>
          <cell r="F940">
            <v>1</v>
          </cell>
          <cell r="G940">
            <v>0</v>
          </cell>
          <cell r="H940">
            <v>1</v>
          </cell>
          <cell r="I940">
            <v>0</v>
          </cell>
        </row>
        <row r="941">
          <cell r="E941" t="str">
            <v>D489</v>
          </cell>
          <cell r="F941">
            <v>1</v>
          </cell>
          <cell r="G941">
            <v>0</v>
          </cell>
          <cell r="H941">
            <v>2.0000000000000001E-4</v>
          </cell>
          <cell r="I941">
            <v>0.99980000000000002</v>
          </cell>
        </row>
        <row r="942">
          <cell r="E942" t="str">
            <v>G489</v>
          </cell>
          <cell r="F942">
            <v>1</v>
          </cell>
          <cell r="G942">
            <v>0.72462000000000004</v>
          </cell>
          <cell r="H942">
            <v>5.2839999999999998E-2</v>
          </cell>
          <cell r="I942">
            <v>0.22253999999999999</v>
          </cell>
        </row>
        <row r="943">
          <cell r="E943" t="str">
            <v>C489</v>
          </cell>
          <cell r="F943">
            <v>1</v>
          </cell>
          <cell r="G943">
            <v>0.70404999999999995</v>
          </cell>
          <cell r="H943">
            <v>5.2839999999999998E-2</v>
          </cell>
          <cell r="I943">
            <v>0.24310999999999999</v>
          </cell>
        </row>
        <row r="944">
          <cell r="E944" t="str">
            <v>DE49</v>
          </cell>
          <cell r="F944">
            <v>1</v>
          </cell>
          <cell r="G944">
            <v>0.66481000000000001</v>
          </cell>
          <cell r="H944">
            <v>3.918E-2</v>
          </cell>
          <cell r="I944">
            <v>0.29601</v>
          </cell>
        </row>
        <row r="947">
          <cell r="E947" t="str">
            <v>L529</v>
          </cell>
          <cell r="F947">
            <v>1</v>
          </cell>
          <cell r="G947">
            <v>0.58630000000000004</v>
          </cell>
          <cell r="H947">
            <v>5.3460000000000001E-2</v>
          </cell>
          <cell r="I947">
            <v>0.36024</v>
          </cell>
        </row>
        <row r="948">
          <cell r="E948" t="str">
            <v>L589</v>
          </cell>
          <cell r="F948">
            <v>1</v>
          </cell>
          <cell r="G948">
            <v>0.58716000000000002</v>
          </cell>
          <cell r="H948">
            <v>5.2850000000000001E-2</v>
          </cell>
          <cell r="I948">
            <v>0.35998999999999998</v>
          </cell>
        </row>
        <row r="949">
          <cell r="E949" t="str">
            <v>L599</v>
          </cell>
          <cell r="F949">
            <v>1</v>
          </cell>
          <cell r="G949">
            <v>0.58644000000000007</v>
          </cell>
          <cell r="H949">
            <v>5.3359999999999998E-2</v>
          </cell>
          <cell r="I949">
            <v>0.36020000000000002</v>
          </cell>
        </row>
        <row r="950">
          <cell r="E950" t="str">
            <v>OP69</v>
          </cell>
          <cell r="F950">
            <v>1</v>
          </cell>
          <cell r="G950">
            <v>0.74439999999999995</v>
          </cell>
          <cell r="H950">
            <v>9.0190000000000006E-2</v>
          </cell>
          <cell r="I950">
            <v>0.16541</v>
          </cell>
        </row>
        <row r="953">
          <cell r="E953" t="str">
            <v>CS09</v>
          </cell>
          <cell r="F953">
            <v>1</v>
          </cell>
          <cell r="G953">
            <v>0.74337537099999995</v>
          </cell>
          <cell r="H953">
            <v>7.9923240000000006E-2</v>
          </cell>
          <cell r="I953">
            <v>0.176700994</v>
          </cell>
        </row>
        <row r="956">
          <cell r="E956" t="str">
            <v>K669</v>
          </cell>
        </row>
      </sheetData>
      <sheetData sheetId="4">
        <row r="814">
          <cell r="F814">
            <v>710084</v>
          </cell>
          <cell r="G814">
            <v>710084</v>
          </cell>
          <cell r="H814">
            <v>0</v>
          </cell>
          <cell r="I814">
            <v>0</v>
          </cell>
        </row>
        <row r="815">
          <cell r="E815" t="str">
            <v>K201</v>
          </cell>
          <cell r="F815">
            <v>1</v>
          </cell>
          <cell r="G815">
            <v>1</v>
          </cell>
          <cell r="H815">
            <v>0</v>
          </cell>
          <cell r="I815">
            <v>0</v>
          </cell>
        </row>
        <row r="816">
          <cell r="F816">
            <v>710084</v>
          </cell>
          <cell r="G816">
            <v>710084</v>
          </cell>
          <cell r="H816">
            <v>0</v>
          </cell>
          <cell r="I816">
            <v>0</v>
          </cell>
        </row>
        <row r="817">
          <cell r="E817" t="str">
            <v>K202</v>
          </cell>
          <cell r="F817">
            <v>1</v>
          </cell>
          <cell r="G817">
            <v>1</v>
          </cell>
          <cell r="H817">
            <v>0</v>
          </cell>
          <cell r="I817">
            <v>0</v>
          </cell>
        </row>
        <row r="818">
          <cell r="F818">
            <v>1503360</v>
          </cell>
          <cell r="G818">
            <v>1503360</v>
          </cell>
          <cell r="H818">
            <v>0</v>
          </cell>
          <cell r="I818">
            <v>0</v>
          </cell>
        </row>
        <row r="819">
          <cell r="E819" t="str">
            <v>K203</v>
          </cell>
          <cell r="F819">
            <v>1</v>
          </cell>
          <cell r="G819">
            <v>1</v>
          </cell>
          <cell r="H819">
            <v>0</v>
          </cell>
          <cell r="I819">
            <v>0</v>
          </cell>
        </row>
        <row r="820">
          <cell r="F820">
            <v>717613</v>
          </cell>
          <cell r="G820">
            <v>717613</v>
          </cell>
          <cell r="H820">
            <v>0</v>
          </cell>
          <cell r="I820">
            <v>0</v>
          </cell>
        </row>
        <row r="821">
          <cell r="E821" t="str">
            <v>K205</v>
          </cell>
          <cell r="F821">
            <v>1</v>
          </cell>
          <cell r="G821">
            <v>1</v>
          </cell>
          <cell r="H821">
            <v>0</v>
          </cell>
          <cell r="I821">
            <v>0</v>
          </cell>
        </row>
        <row r="822">
          <cell r="F822">
            <v>717613</v>
          </cell>
          <cell r="G822">
            <v>717613</v>
          </cell>
          <cell r="H822">
            <v>0</v>
          </cell>
          <cell r="I822">
            <v>0</v>
          </cell>
        </row>
        <row r="823">
          <cell r="E823" t="str">
            <v>K206</v>
          </cell>
          <cell r="F823">
            <v>1</v>
          </cell>
          <cell r="G823">
            <v>1</v>
          </cell>
          <cell r="H823">
            <v>0</v>
          </cell>
          <cell r="I823">
            <v>0</v>
          </cell>
        </row>
        <row r="824">
          <cell r="F824">
            <v>0</v>
          </cell>
          <cell r="G824">
            <v>0</v>
          </cell>
          <cell r="H824">
            <v>0</v>
          </cell>
          <cell r="I824">
            <v>0</v>
          </cell>
        </row>
        <row r="825">
          <cell r="E825" t="str">
            <v>K209</v>
          </cell>
          <cell r="F825">
            <v>1</v>
          </cell>
          <cell r="G825">
            <v>0</v>
          </cell>
          <cell r="H825">
            <v>0</v>
          </cell>
          <cell r="I825">
            <v>0</v>
          </cell>
        </row>
        <row r="826">
          <cell r="F826">
            <v>717613</v>
          </cell>
          <cell r="G826">
            <v>717613</v>
          </cell>
          <cell r="H826">
            <v>0</v>
          </cell>
          <cell r="I826">
            <v>0</v>
          </cell>
        </row>
        <row r="827">
          <cell r="E827" t="str">
            <v>K215</v>
          </cell>
          <cell r="F827">
            <v>1</v>
          </cell>
          <cell r="G827">
            <v>1</v>
          </cell>
          <cell r="H827">
            <v>0</v>
          </cell>
          <cell r="I827">
            <v>0</v>
          </cell>
        </row>
        <row r="828">
          <cell r="F828">
            <v>141934</v>
          </cell>
          <cell r="G828">
            <v>0</v>
          </cell>
          <cell r="H828">
            <v>0</v>
          </cell>
          <cell r="I828">
            <v>141934</v>
          </cell>
        </row>
        <row r="829">
          <cell r="E829" t="str">
            <v>K217</v>
          </cell>
          <cell r="F829">
            <v>1</v>
          </cell>
          <cell r="G829">
            <v>0</v>
          </cell>
          <cell r="H829">
            <v>0</v>
          </cell>
          <cell r="I829">
            <v>1</v>
          </cell>
        </row>
        <row r="830">
          <cell r="F830">
            <v>4196163573</v>
          </cell>
          <cell r="G830">
            <v>0</v>
          </cell>
          <cell r="H830">
            <v>4196163573</v>
          </cell>
          <cell r="I830">
            <v>0</v>
          </cell>
        </row>
        <row r="831">
          <cell r="E831" t="str">
            <v>K301</v>
          </cell>
          <cell r="F831">
            <v>1</v>
          </cell>
          <cell r="G831">
            <v>0</v>
          </cell>
          <cell r="H831">
            <v>1</v>
          </cell>
          <cell r="I831">
            <v>0</v>
          </cell>
        </row>
        <row r="832">
          <cell r="F832">
            <v>4196163573</v>
          </cell>
          <cell r="G832">
            <v>0</v>
          </cell>
          <cell r="H832">
            <v>4196163573</v>
          </cell>
          <cell r="I832">
            <v>0</v>
          </cell>
        </row>
        <row r="833">
          <cell r="E833" t="str">
            <v>K303</v>
          </cell>
          <cell r="F833">
            <v>1</v>
          </cell>
          <cell r="G833">
            <v>0</v>
          </cell>
          <cell r="H833">
            <v>1</v>
          </cell>
          <cell r="I833">
            <v>0</v>
          </cell>
        </row>
        <row r="834">
          <cell r="F834">
            <v>4176422231</v>
          </cell>
          <cell r="G834">
            <v>0</v>
          </cell>
          <cell r="H834">
            <v>4176422231</v>
          </cell>
          <cell r="I834">
            <v>0</v>
          </cell>
        </row>
        <row r="835">
          <cell r="E835" t="str">
            <v>K305</v>
          </cell>
          <cell r="F835">
            <v>1</v>
          </cell>
          <cell r="G835">
            <v>0</v>
          </cell>
          <cell r="H835">
            <v>1</v>
          </cell>
          <cell r="I835">
            <v>0</v>
          </cell>
        </row>
        <row r="836">
          <cell r="F836">
            <v>1</v>
          </cell>
          <cell r="G836">
            <v>1</v>
          </cell>
          <cell r="H836">
            <v>0</v>
          </cell>
          <cell r="I836">
            <v>0</v>
          </cell>
        </row>
        <row r="837">
          <cell r="E837" t="str">
            <v>K307</v>
          </cell>
          <cell r="F837">
            <v>1</v>
          </cell>
          <cell r="G837">
            <v>1</v>
          </cell>
          <cell r="H837">
            <v>0</v>
          </cell>
          <cell r="I837">
            <v>0</v>
          </cell>
        </row>
        <row r="838">
          <cell r="F838">
            <v>1</v>
          </cell>
          <cell r="G838">
            <v>1</v>
          </cell>
          <cell r="H838">
            <v>0</v>
          </cell>
          <cell r="I838">
            <v>0</v>
          </cell>
        </row>
        <row r="839">
          <cell r="E839" t="str">
            <v>K401</v>
          </cell>
          <cell r="F839">
            <v>1</v>
          </cell>
          <cell r="G839">
            <v>1</v>
          </cell>
          <cell r="H839">
            <v>0</v>
          </cell>
          <cell r="I839">
            <v>0</v>
          </cell>
        </row>
        <row r="840">
          <cell r="F840">
            <v>140014</v>
          </cell>
          <cell r="G840">
            <v>0</v>
          </cell>
          <cell r="H840">
            <v>0</v>
          </cell>
          <cell r="I840">
            <v>140014</v>
          </cell>
        </row>
        <row r="841">
          <cell r="E841" t="str">
            <v>K405</v>
          </cell>
          <cell r="F841">
            <v>1</v>
          </cell>
          <cell r="G841">
            <v>0</v>
          </cell>
          <cell r="H841">
            <v>0</v>
          </cell>
          <cell r="I841">
            <v>1</v>
          </cell>
        </row>
        <row r="842">
          <cell r="F842">
            <v>6350638</v>
          </cell>
          <cell r="G842">
            <v>0</v>
          </cell>
          <cell r="H842">
            <v>0</v>
          </cell>
          <cell r="I842">
            <v>6350638</v>
          </cell>
        </row>
        <row r="843">
          <cell r="E843" t="str">
            <v>K407</v>
          </cell>
          <cell r="F843">
            <v>1</v>
          </cell>
          <cell r="G843">
            <v>0</v>
          </cell>
          <cell r="H843">
            <v>0</v>
          </cell>
          <cell r="I843">
            <v>1</v>
          </cell>
        </row>
        <row r="844">
          <cell r="F844">
            <v>243058</v>
          </cell>
          <cell r="G844">
            <v>0</v>
          </cell>
          <cell r="H844">
            <v>0</v>
          </cell>
          <cell r="I844">
            <v>243058</v>
          </cell>
        </row>
        <row r="845">
          <cell r="E845" t="str">
            <v>K409</v>
          </cell>
          <cell r="F845">
            <v>1</v>
          </cell>
          <cell r="G845">
            <v>0</v>
          </cell>
          <cell r="H845">
            <v>0</v>
          </cell>
          <cell r="I845">
            <v>1</v>
          </cell>
        </row>
        <row r="846">
          <cell r="F846">
            <v>1498164.3299999998</v>
          </cell>
          <cell r="G846">
            <v>0</v>
          </cell>
          <cell r="H846">
            <v>0</v>
          </cell>
          <cell r="I846">
            <v>1498164.3299999998</v>
          </cell>
        </row>
        <row r="847">
          <cell r="E847" t="str">
            <v>K411</v>
          </cell>
          <cell r="F847">
            <v>1</v>
          </cell>
          <cell r="G847">
            <v>0</v>
          </cell>
          <cell r="H847">
            <v>0</v>
          </cell>
          <cell r="I847">
            <v>1</v>
          </cell>
        </row>
        <row r="848">
          <cell r="F848">
            <v>4178319049</v>
          </cell>
          <cell r="G848">
            <v>0</v>
          </cell>
          <cell r="H848">
            <v>4178319049</v>
          </cell>
          <cell r="I848">
            <v>0</v>
          </cell>
        </row>
        <row r="849">
          <cell r="E849" t="str">
            <v>K302</v>
          </cell>
          <cell r="F849">
            <v>1</v>
          </cell>
          <cell r="G849">
            <v>0</v>
          </cell>
          <cell r="H849">
            <v>1</v>
          </cell>
          <cell r="I849">
            <v>0</v>
          </cell>
        </row>
        <row r="851">
          <cell r="E851" t="str">
            <v>R600</v>
          </cell>
          <cell r="F851">
            <v>226218745</v>
          </cell>
          <cell r="G851">
            <v>67247690</v>
          </cell>
          <cell r="H851">
            <v>158971055</v>
          </cell>
          <cell r="I851">
            <v>0</v>
          </cell>
        </row>
        <row r="852">
          <cell r="E852" t="str">
            <v>R602</v>
          </cell>
          <cell r="F852">
            <v>178680291</v>
          </cell>
          <cell r="G852">
            <v>96533814</v>
          </cell>
          <cell r="H852">
            <v>82146477</v>
          </cell>
          <cell r="I852">
            <v>0</v>
          </cell>
        </row>
        <row r="861">
          <cell r="F861" t="str">
            <v>TOTAL</v>
          </cell>
          <cell r="G861" t="str">
            <v>CLASSIFIED</v>
          </cell>
        </row>
        <row r="862">
          <cell r="E862" t="str">
            <v>ALLO</v>
          </cell>
          <cell r="F862" t="str">
            <v>PRODUCTION</v>
          </cell>
          <cell r="G862" t="str">
            <v>DEMAND</v>
          </cell>
          <cell r="H862" t="str">
            <v>ENERGY</v>
          </cell>
          <cell r="I862" t="str">
            <v>CUSTOMER</v>
          </cell>
        </row>
        <row r="863">
          <cell r="E863">
            <v>1</v>
          </cell>
          <cell r="F863">
            <v>2</v>
          </cell>
          <cell r="G863">
            <v>3</v>
          </cell>
          <cell r="H863">
            <v>4</v>
          </cell>
          <cell r="I863">
            <v>5</v>
          </cell>
        </row>
        <row r="865">
          <cell r="F865">
            <v>226218745</v>
          </cell>
          <cell r="G865">
            <v>67247690</v>
          </cell>
          <cell r="H865">
            <v>158971055</v>
          </cell>
          <cell r="I865">
            <v>0</v>
          </cell>
        </row>
        <row r="866">
          <cell r="E866" t="str">
            <v>K901</v>
          </cell>
          <cell r="F866">
            <v>1</v>
          </cell>
          <cell r="G866">
            <v>0.29726999999999998</v>
          </cell>
          <cell r="H866">
            <v>0.70272999999999997</v>
          </cell>
          <cell r="I866">
            <v>0</v>
          </cell>
        </row>
        <row r="867">
          <cell r="F867">
            <v>178680291</v>
          </cell>
          <cell r="G867">
            <v>96533814</v>
          </cell>
          <cell r="H867">
            <v>82146477</v>
          </cell>
          <cell r="I867">
            <v>0</v>
          </cell>
        </row>
        <row r="868">
          <cell r="E868" t="str">
            <v>K902</v>
          </cell>
          <cell r="F868">
            <v>1</v>
          </cell>
          <cell r="G868">
            <v>0.54025999999999996</v>
          </cell>
          <cell r="H868">
            <v>0.45973999999999998</v>
          </cell>
          <cell r="I868">
            <v>0</v>
          </cell>
        </row>
        <row r="872">
          <cell r="E872" t="str">
            <v>P129</v>
          </cell>
          <cell r="F872">
            <v>1</v>
          </cell>
          <cell r="G872">
            <v>1</v>
          </cell>
          <cell r="H872">
            <v>0</v>
          </cell>
          <cell r="I872">
            <v>0</v>
          </cell>
        </row>
        <row r="873">
          <cell r="E873" t="str">
            <v>T129</v>
          </cell>
          <cell r="F873">
            <v>0</v>
          </cell>
          <cell r="G873">
            <v>0</v>
          </cell>
          <cell r="H873">
            <v>0</v>
          </cell>
          <cell r="I873">
            <v>0</v>
          </cell>
        </row>
        <row r="874">
          <cell r="E874" t="str">
            <v>PT29</v>
          </cell>
          <cell r="F874">
            <v>1</v>
          </cell>
          <cell r="G874">
            <v>1</v>
          </cell>
          <cell r="H874">
            <v>0</v>
          </cell>
          <cell r="I874">
            <v>0</v>
          </cell>
        </row>
        <row r="875">
          <cell r="E875" t="str">
            <v>D149</v>
          </cell>
          <cell r="F875">
            <v>0</v>
          </cell>
          <cell r="G875">
            <v>0</v>
          </cell>
          <cell r="H875">
            <v>0</v>
          </cell>
          <cell r="I875">
            <v>0</v>
          </cell>
        </row>
        <row r="876">
          <cell r="E876" t="str">
            <v>TD29</v>
          </cell>
          <cell r="F876">
            <v>1</v>
          </cell>
          <cell r="G876">
            <v>1</v>
          </cell>
          <cell r="H876">
            <v>0</v>
          </cell>
          <cell r="I876">
            <v>0</v>
          </cell>
        </row>
        <row r="877">
          <cell r="E877" t="str">
            <v>PD29</v>
          </cell>
          <cell r="F877">
            <v>1</v>
          </cell>
          <cell r="G877">
            <v>0.64151999999999998</v>
          </cell>
          <cell r="H877">
            <v>0.35848000000000002</v>
          </cell>
          <cell r="I877">
            <v>0</v>
          </cell>
        </row>
        <row r="878">
          <cell r="E878" t="str">
            <v>G129</v>
          </cell>
          <cell r="F878">
            <v>1</v>
          </cell>
          <cell r="G878">
            <v>0.64151999999999998</v>
          </cell>
          <cell r="H878">
            <v>0.35848000000000002</v>
          </cell>
          <cell r="I878">
            <v>0</v>
          </cell>
        </row>
        <row r="879">
          <cell r="E879" t="str">
            <v>C129</v>
          </cell>
          <cell r="F879">
            <v>1</v>
          </cell>
          <cell r="G879">
            <v>0.98629</v>
          </cell>
          <cell r="H879">
            <v>1.371E-2</v>
          </cell>
          <cell r="I879">
            <v>0</v>
          </cell>
        </row>
        <row r="880">
          <cell r="E880" t="str">
            <v>GP19</v>
          </cell>
          <cell r="F880">
            <v>0</v>
          </cell>
          <cell r="G880">
            <v>0</v>
          </cell>
          <cell r="H880">
            <v>0</v>
          </cell>
          <cell r="I880">
            <v>0</v>
          </cell>
        </row>
        <row r="881">
          <cell r="E881" t="str">
            <v>DR19</v>
          </cell>
          <cell r="F881">
            <v>1</v>
          </cell>
          <cell r="G881">
            <v>0.98204000000000002</v>
          </cell>
          <cell r="H881">
            <v>1.796E-2</v>
          </cell>
          <cell r="I881">
            <v>0</v>
          </cell>
        </row>
        <row r="884">
          <cell r="E884" t="str">
            <v>P229</v>
          </cell>
          <cell r="F884">
            <v>1</v>
          </cell>
          <cell r="G884">
            <v>1</v>
          </cell>
          <cell r="H884">
            <v>0</v>
          </cell>
          <cell r="I884">
            <v>0</v>
          </cell>
        </row>
        <row r="885">
          <cell r="E885" t="str">
            <v>T229</v>
          </cell>
          <cell r="F885">
            <v>0</v>
          </cell>
          <cell r="G885">
            <v>0</v>
          </cell>
          <cell r="H885">
            <v>0</v>
          </cell>
          <cell r="I885">
            <v>0</v>
          </cell>
        </row>
        <row r="886">
          <cell r="E886" t="str">
            <v>PL49</v>
          </cell>
          <cell r="F886">
            <v>0</v>
          </cell>
          <cell r="G886">
            <v>0</v>
          </cell>
          <cell r="H886">
            <v>0</v>
          </cell>
          <cell r="I886">
            <v>0</v>
          </cell>
        </row>
        <row r="887">
          <cell r="E887" t="str">
            <v>D249</v>
          </cell>
          <cell r="F887">
            <v>0</v>
          </cell>
          <cell r="G887">
            <v>0</v>
          </cell>
          <cell r="H887">
            <v>0</v>
          </cell>
          <cell r="I887">
            <v>0</v>
          </cell>
        </row>
        <row r="888">
          <cell r="E888" t="str">
            <v>NT29</v>
          </cell>
          <cell r="F888">
            <v>1</v>
          </cell>
          <cell r="G888">
            <v>1</v>
          </cell>
          <cell r="H888">
            <v>0</v>
          </cell>
          <cell r="I888">
            <v>0</v>
          </cell>
        </row>
        <row r="889">
          <cell r="E889" t="str">
            <v>G229</v>
          </cell>
          <cell r="F889">
            <v>1</v>
          </cell>
          <cell r="G889">
            <v>0.62748000000000004</v>
          </cell>
          <cell r="H889">
            <v>0.37252000000000002</v>
          </cell>
          <cell r="I889">
            <v>0</v>
          </cell>
        </row>
        <row r="890">
          <cell r="E890" t="str">
            <v>C229</v>
          </cell>
          <cell r="F890">
            <v>1</v>
          </cell>
          <cell r="G890">
            <v>0.61658999999999997</v>
          </cell>
          <cell r="H890">
            <v>0.38340999999999997</v>
          </cell>
          <cell r="I890">
            <v>0</v>
          </cell>
        </row>
        <row r="891">
          <cell r="E891" t="str">
            <v>NP29</v>
          </cell>
          <cell r="F891">
            <v>1</v>
          </cell>
          <cell r="G891">
            <v>0.99168999999999996</v>
          </cell>
          <cell r="H891">
            <v>8.3099999999999997E-3</v>
          </cell>
          <cell r="I891">
            <v>0</v>
          </cell>
        </row>
        <row r="894">
          <cell r="E894" t="str">
            <v>W669</v>
          </cell>
          <cell r="F894">
            <v>1</v>
          </cell>
          <cell r="G894">
            <v>0.26338</v>
          </cell>
          <cell r="H894">
            <v>0.73662000000000005</v>
          </cell>
          <cell r="I894">
            <v>0</v>
          </cell>
        </row>
        <row r="895">
          <cell r="E895" t="str">
            <v>W689</v>
          </cell>
          <cell r="F895">
            <v>1</v>
          </cell>
          <cell r="G895">
            <v>0</v>
          </cell>
          <cell r="H895">
            <v>0</v>
          </cell>
          <cell r="I895">
            <v>0</v>
          </cell>
        </row>
        <row r="896">
          <cell r="E896" t="str">
            <v>W719</v>
          </cell>
          <cell r="F896">
            <v>1</v>
          </cell>
          <cell r="G896">
            <v>0</v>
          </cell>
          <cell r="H896">
            <v>0</v>
          </cell>
          <cell r="I896">
            <v>0</v>
          </cell>
        </row>
        <row r="897">
          <cell r="E897" t="str">
            <v>W749</v>
          </cell>
          <cell r="F897">
            <v>1</v>
          </cell>
          <cell r="G897">
            <v>0</v>
          </cell>
          <cell r="H897">
            <v>0</v>
          </cell>
          <cell r="I897">
            <v>0</v>
          </cell>
        </row>
        <row r="898">
          <cell r="E898" t="str">
            <v>WC79</v>
          </cell>
          <cell r="F898">
            <v>1</v>
          </cell>
          <cell r="G898">
            <v>0.26338</v>
          </cell>
          <cell r="H898">
            <v>0.73662000000000005</v>
          </cell>
          <cell r="I898">
            <v>0</v>
          </cell>
        </row>
        <row r="901">
          <cell r="E901" t="str">
            <v>RB29</v>
          </cell>
          <cell r="F901">
            <v>1</v>
          </cell>
          <cell r="G901">
            <v>1.0009300000000001</v>
          </cell>
          <cell r="H901">
            <v>-9.3000000000000005E-4</v>
          </cell>
          <cell r="I901">
            <v>0</v>
          </cell>
        </row>
        <row r="902">
          <cell r="E902" t="str">
            <v>RB99</v>
          </cell>
          <cell r="F902">
            <v>1</v>
          </cell>
          <cell r="G902">
            <v>0.94342999999999999</v>
          </cell>
          <cell r="H902">
            <v>5.6570000000000002E-2</v>
          </cell>
          <cell r="I902">
            <v>0</v>
          </cell>
        </row>
        <row r="903">
          <cell r="E903" t="str">
            <v>CW29</v>
          </cell>
          <cell r="F903">
            <v>1</v>
          </cell>
          <cell r="G903">
            <v>0</v>
          </cell>
          <cell r="H903">
            <v>0</v>
          </cell>
          <cell r="I903">
            <v>0</v>
          </cell>
        </row>
        <row r="912">
          <cell r="F912" t="str">
            <v>TOTAL</v>
          </cell>
          <cell r="G912" t="str">
            <v>CLASSIFIED</v>
          </cell>
        </row>
        <row r="913">
          <cell r="E913" t="str">
            <v>ALLO</v>
          </cell>
          <cell r="F913" t="str">
            <v>PRODUCTION</v>
          </cell>
          <cell r="G913" t="str">
            <v>DEMAND</v>
          </cell>
          <cell r="H913" t="str">
            <v>ENERGY</v>
          </cell>
          <cell r="I913" t="str">
            <v>CUSTOMER</v>
          </cell>
        </row>
        <row r="914">
          <cell r="E914">
            <v>1</v>
          </cell>
          <cell r="F914">
            <v>2</v>
          </cell>
          <cell r="G914">
            <v>3</v>
          </cell>
          <cell r="H914">
            <v>4</v>
          </cell>
          <cell r="I914">
            <v>5</v>
          </cell>
        </row>
        <row r="916">
          <cell r="E916" t="str">
            <v>P349</v>
          </cell>
          <cell r="F916">
            <v>1</v>
          </cell>
          <cell r="G916">
            <v>0</v>
          </cell>
          <cell r="H916">
            <v>0</v>
          </cell>
          <cell r="I916">
            <v>0</v>
          </cell>
        </row>
        <row r="917">
          <cell r="E917" t="str">
            <v>E349</v>
          </cell>
          <cell r="F917">
            <v>1</v>
          </cell>
          <cell r="G917">
            <v>0</v>
          </cell>
          <cell r="H917">
            <v>1</v>
          </cell>
          <cell r="I917">
            <v>0</v>
          </cell>
        </row>
        <row r="918">
          <cell r="E918" t="str">
            <v>P459</v>
          </cell>
          <cell r="F918">
            <v>1</v>
          </cell>
          <cell r="G918">
            <v>0</v>
          </cell>
          <cell r="H918">
            <v>1</v>
          </cell>
          <cell r="I918">
            <v>0</v>
          </cell>
        </row>
        <row r="919">
          <cell r="E919" t="str">
            <v>T349</v>
          </cell>
          <cell r="F919">
            <v>1</v>
          </cell>
          <cell r="G919">
            <v>0</v>
          </cell>
          <cell r="H919">
            <v>0</v>
          </cell>
          <cell r="I919">
            <v>0</v>
          </cell>
        </row>
        <row r="920">
          <cell r="E920" t="str">
            <v>D349</v>
          </cell>
          <cell r="F920">
            <v>1</v>
          </cell>
          <cell r="G920">
            <v>1</v>
          </cell>
          <cell r="H920">
            <v>0</v>
          </cell>
          <cell r="I920">
            <v>0</v>
          </cell>
        </row>
        <row r="921">
          <cell r="E921" t="str">
            <v>C311</v>
          </cell>
          <cell r="F921">
            <v>1</v>
          </cell>
          <cell r="G921">
            <v>0</v>
          </cell>
          <cell r="H921">
            <v>0</v>
          </cell>
          <cell r="I921">
            <v>0</v>
          </cell>
        </row>
        <row r="922">
          <cell r="E922" t="str">
            <v>C319</v>
          </cell>
          <cell r="F922">
            <v>1</v>
          </cell>
          <cell r="G922">
            <v>0</v>
          </cell>
          <cell r="H922">
            <v>0</v>
          </cell>
          <cell r="I922">
            <v>0</v>
          </cell>
        </row>
        <row r="923">
          <cell r="E923" t="str">
            <v>C331</v>
          </cell>
          <cell r="F923">
            <v>1</v>
          </cell>
          <cell r="G923">
            <v>0</v>
          </cell>
          <cell r="H923">
            <v>0</v>
          </cell>
          <cell r="I923">
            <v>0</v>
          </cell>
        </row>
        <row r="924">
          <cell r="E924" t="str">
            <v>S319</v>
          </cell>
          <cell r="F924">
            <v>1</v>
          </cell>
          <cell r="G924">
            <v>0</v>
          </cell>
          <cell r="H924">
            <v>0</v>
          </cell>
          <cell r="I924">
            <v>0</v>
          </cell>
        </row>
        <row r="925">
          <cell r="E925" t="str">
            <v>OM39</v>
          </cell>
          <cell r="F925">
            <v>1</v>
          </cell>
          <cell r="G925">
            <v>4.9700000000000001E-2</v>
          </cell>
          <cell r="H925">
            <v>0.95030000000000003</v>
          </cell>
          <cell r="I925">
            <v>0</v>
          </cell>
        </row>
        <row r="928">
          <cell r="E928" t="str">
            <v>A300</v>
          </cell>
          <cell r="F928">
            <v>1</v>
          </cell>
          <cell r="G928">
            <v>1</v>
          </cell>
          <cell r="H928">
            <v>0</v>
          </cell>
          <cell r="I928">
            <v>0</v>
          </cell>
        </row>
        <row r="929">
          <cell r="E929" t="str">
            <v>A302</v>
          </cell>
          <cell r="F929">
            <v>1</v>
          </cell>
          <cell r="G929">
            <v>0</v>
          </cell>
          <cell r="H929">
            <v>1</v>
          </cell>
          <cell r="I929">
            <v>0</v>
          </cell>
        </row>
        <row r="930">
          <cell r="E930" t="str">
            <v>A304</v>
          </cell>
          <cell r="F930">
            <v>1</v>
          </cell>
          <cell r="G930">
            <v>0</v>
          </cell>
          <cell r="H930">
            <v>0</v>
          </cell>
          <cell r="I930">
            <v>0</v>
          </cell>
        </row>
        <row r="931">
          <cell r="E931" t="str">
            <v>A306</v>
          </cell>
          <cell r="F931">
            <v>1</v>
          </cell>
          <cell r="G931">
            <v>1</v>
          </cell>
          <cell r="H931">
            <v>0</v>
          </cell>
          <cell r="I931">
            <v>0</v>
          </cell>
        </row>
        <row r="932">
          <cell r="E932" t="str">
            <v>A308</v>
          </cell>
          <cell r="F932">
            <v>1</v>
          </cell>
          <cell r="G932">
            <v>0</v>
          </cell>
          <cell r="H932">
            <v>0</v>
          </cell>
          <cell r="I932">
            <v>0</v>
          </cell>
        </row>
        <row r="933">
          <cell r="E933" t="str">
            <v>A310</v>
          </cell>
          <cell r="F933">
            <v>1</v>
          </cell>
          <cell r="G933">
            <v>0</v>
          </cell>
          <cell r="H933">
            <v>0</v>
          </cell>
          <cell r="I933">
            <v>0</v>
          </cell>
        </row>
        <row r="934">
          <cell r="E934" t="str">
            <v>A312</v>
          </cell>
          <cell r="F934">
            <v>1</v>
          </cell>
          <cell r="G934">
            <v>0</v>
          </cell>
          <cell r="H934">
            <v>0</v>
          </cell>
          <cell r="I934">
            <v>0</v>
          </cell>
        </row>
        <row r="935">
          <cell r="E935" t="str">
            <v>A315</v>
          </cell>
          <cell r="F935">
            <v>1</v>
          </cell>
          <cell r="G935">
            <v>0.54025999999999996</v>
          </cell>
          <cell r="H935">
            <v>0.45973999999999998</v>
          </cell>
          <cell r="I935">
            <v>0</v>
          </cell>
        </row>
        <row r="936">
          <cell r="E936" t="str">
            <v>A357</v>
          </cell>
          <cell r="F936">
            <v>1</v>
          </cell>
          <cell r="G936">
            <v>0.54025999999999996</v>
          </cell>
          <cell r="H936">
            <v>0.45973999999999998</v>
          </cell>
          <cell r="I936">
            <v>0</v>
          </cell>
        </row>
        <row r="939">
          <cell r="E939" t="str">
            <v>P489</v>
          </cell>
          <cell r="F939">
            <v>1</v>
          </cell>
          <cell r="G939">
            <v>1</v>
          </cell>
          <cell r="H939">
            <v>0</v>
          </cell>
          <cell r="I939">
            <v>0</v>
          </cell>
        </row>
        <row r="940">
          <cell r="E940" t="str">
            <v>T489</v>
          </cell>
          <cell r="F940">
            <v>1</v>
          </cell>
          <cell r="G940">
            <v>0</v>
          </cell>
          <cell r="H940">
            <v>0</v>
          </cell>
          <cell r="I940">
            <v>0</v>
          </cell>
        </row>
        <row r="941">
          <cell r="E941" t="str">
            <v>D489</v>
          </cell>
          <cell r="F941">
            <v>1</v>
          </cell>
          <cell r="G941">
            <v>0</v>
          </cell>
          <cell r="H941">
            <v>0</v>
          </cell>
          <cell r="I941">
            <v>0</v>
          </cell>
        </row>
        <row r="942">
          <cell r="E942" t="str">
            <v>G489</v>
          </cell>
          <cell r="F942">
            <v>1</v>
          </cell>
          <cell r="G942">
            <v>0.62748000000000004</v>
          </cell>
          <cell r="H942">
            <v>0.37252000000000002</v>
          </cell>
          <cell r="I942">
            <v>0</v>
          </cell>
        </row>
        <row r="943">
          <cell r="E943" t="str">
            <v>C489</v>
          </cell>
          <cell r="F943">
            <v>1</v>
          </cell>
          <cell r="G943">
            <v>0.61658999999999997</v>
          </cell>
          <cell r="H943">
            <v>0.38340999999999997</v>
          </cell>
          <cell r="I943">
            <v>0</v>
          </cell>
        </row>
        <row r="944">
          <cell r="E944" t="str">
            <v>DE49</v>
          </cell>
          <cell r="F944">
            <v>1</v>
          </cell>
          <cell r="G944">
            <v>0.97516999999999998</v>
          </cell>
          <cell r="H944">
            <v>2.4830000000000001E-2</v>
          </cell>
          <cell r="I944">
            <v>0</v>
          </cell>
        </row>
        <row r="947">
          <cell r="E947" t="str">
            <v>L529</v>
          </cell>
          <cell r="F947">
            <v>1</v>
          </cell>
          <cell r="G947">
            <v>0.99168999999999996</v>
          </cell>
          <cell r="H947">
            <v>8.3099999999999997E-3</v>
          </cell>
          <cell r="I947">
            <v>0</v>
          </cell>
        </row>
        <row r="948">
          <cell r="E948" t="str">
            <v>L589</v>
          </cell>
          <cell r="F948">
            <v>1</v>
          </cell>
          <cell r="G948">
            <v>0.54025999999999996</v>
          </cell>
          <cell r="H948">
            <v>0.45973999999999998</v>
          </cell>
          <cell r="I948">
            <v>0</v>
          </cell>
        </row>
        <row r="949">
          <cell r="E949" t="str">
            <v>L599</v>
          </cell>
          <cell r="F949">
            <v>1</v>
          </cell>
          <cell r="G949">
            <v>0.91678000000000004</v>
          </cell>
          <cell r="H949">
            <v>8.3220000000000002E-2</v>
          </cell>
          <cell r="I949">
            <v>0</v>
          </cell>
        </row>
        <row r="950">
          <cell r="E950" t="str">
            <v>OP69</v>
          </cell>
          <cell r="F950">
            <v>1</v>
          </cell>
          <cell r="G950">
            <v>0.22864000000000001</v>
          </cell>
          <cell r="H950">
            <v>0.77136000000000005</v>
          </cell>
          <cell r="I950">
            <v>0</v>
          </cell>
        </row>
        <row r="953">
          <cell r="E953" t="str">
            <v>CS09</v>
          </cell>
          <cell r="F953">
            <v>1</v>
          </cell>
          <cell r="G953">
            <v>0.297268423</v>
          </cell>
          <cell r="H953">
            <v>0.702731577</v>
          </cell>
          <cell r="I953">
            <v>0</v>
          </cell>
        </row>
      </sheetData>
      <sheetData sheetId="5">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row>
        <row r="825">
          <cell r="E825" t="str">
            <v>K209</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11</v>
          </cell>
          <cell r="P840">
            <v>394</v>
          </cell>
          <cell r="Q840">
            <v>11</v>
          </cell>
          <cell r="R840">
            <v>140010</v>
          </cell>
          <cell r="S840">
            <v>4</v>
          </cell>
        </row>
        <row r="841">
          <cell r="E841" t="str">
            <v>K405</v>
          </cell>
          <cell r="F841">
            <v>1</v>
          </cell>
          <cell r="G841">
            <v>0.90183000000000002</v>
          </cell>
          <cell r="H841">
            <v>9.1660000000000005E-2</v>
          </cell>
          <cell r="I841">
            <v>1.2199999999999999E-3</v>
          </cell>
          <cell r="J841">
            <v>7.3999999999999999E-4</v>
          </cell>
          <cell r="K841">
            <v>1.1E-4</v>
          </cell>
          <cell r="L841">
            <v>1.1000000000000001E-3</v>
          </cell>
          <cell r="M841">
            <v>2.5999999999999998E-4</v>
          </cell>
          <cell r="N841">
            <v>6.9999999999999994E-5</v>
          </cell>
          <cell r="O841">
            <v>8.0000000000000007E-5</v>
          </cell>
          <cell r="P841">
            <v>2.81E-3</v>
          </cell>
          <cell r="Q841">
            <v>8.0000000000000007E-5</v>
          </cell>
          <cell r="R841">
            <v>0.99995999999999996</v>
          </cell>
          <cell r="S841">
            <v>4.0000000000040004E-5</v>
          </cell>
        </row>
        <row r="842">
          <cell r="F842">
            <v>6350638</v>
          </cell>
          <cell r="G842">
            <v>3299927</v>
          </cell>
          <cell r="H842">
            <v>2696699</v>
          </cell>
          <cell r="I842">
            <v>0</v>
          </cell>
          <cell r="J842">
            <v>22657</v>
          </cell>
          <cell r="K842">
            <v>2715</v>
          </cell>
          <cell r="L842">
            <v>125418</v>
          </cell>
          <cell r="M842">
            <v>0</v>
          </cell>
          <cell r="N842">
            <v>10654</v>
          </cell>
          <cell r="O842">
            <v>16048</v>
          </cell>
          <cell r="P842">
            <v>0</v>
          </cell>
          <cell r="Q842">
            <v>176520</v>
          </cell>
          <cell r="R842">
            <v>6350638</v>
          </cell>
          <cell r="S842">
            <v>0</v>
          </cell>
        </row>
        <row r="843">
          <cell r="E843" t="str">
            <v>K407</v>
          </cell>
          <cell r="F843">
            <v>1</v>
          </cell>
          <cell r="G843">
            <v>0.51961000000000002</v>
          </cell>
          <cell r="H843">
            <v>0.42463000000000001</v>
          </cell>
          <cell r="I843">
            <v>0</v>
          </cell>
          <cell r="J843">
            <v>3.5699999999999998E-3</v>
          </cell>
          <cell r="K843">
            <v>4.2999999999999999E-4</v>
          </cell>
          <cell r="L843">
            <v>1.975E-2</v>
          </cell>
          <cell r="M843">
            <v>0</v>
          </cell>
          <cell r="N843">
            <v>1.6800000000000001E-3</v>
          </cell>
          <cell r="O843">
            <v>2.5300000000000001E-3</v>
          </cell>
          <cell r="P843">
            <v>0</v>
          </cell>
          <cell r="Q843">
            <v>2.7799999999999998E-2</v>
          </cell>
          <cell r="R843">
            <v>1</v>
          </cell>
          <cell r="S843">
            <v>0</v>
          </cell>
        </row>
        <row r="844">
          <cell r="F844">
            <v>243058</v>
          </cell>
          <cell r="G844">
            <v>126269</v>
          </cell>
          <cell r="H844">
            <v>102622</v>
          </cell>
          <cell r="I844">
            <v>171</v>
          </cell>
          <cell r="J844">
            <v>832</v>
          </cell>
          <cell r="K844">
            <v>112</v>
          </cell>
          <cell r="L844">
            <v>4804</v>
          </cell>
          <cell r="M844">
            <v>37</v>
          </cell>
          <cell r="N844">
            <v>410</v>
          </cell>
          <cell r="O844">
            <v>620</v>
          </cell>
          <cell r="P844">
            <v>394</v>
          </cell>
          <cell r="Q844">
            <v>6787</v>
          </cell>
          <cell r="R844">
            <v>243058</v>
          </cell>
          <cell r="S844">
            <v>0</v>
          </cell>
        </row>
        <row r="845">
          <cell r="E845" t="str">
            <v>K409</v>
          </cell>
          <cell r="F845">
            <v>1</v>
          </cell>
          <cell r="G845">
            <v>0.51951999999999998</v>
          </cell>
          <cell r="H845">
            <v>0.42220999999999997</v>
          </cell>
          <cell r="I845">
            <v>6.9999999999999999E-4</v>
          </cell>
          <cell r="J845">
            <v>3.4199999999999999E-3</v>
          </cell>
          <cell r="K845">
            <v>4.6000000000000001E-4</v>
          </cell>
          <cell r="L845">
            <v>1.976E-2</v>
          </cell>
          <cell r="M845">
            <v>1.4999999999999999E-4</v>
          </cell>
          <cell r="N845">
            <v>1.6900000000000001E-3</v>
          </cell>
          <cell r="O845">
            <v>2.5500000000000002E-3</v>
          </cell>
          <cell r="P845">
            <v>1.6199999999999999E-3</v>
          </cell>
          <cell r="Q845">
            <v>2.792E-2</v>
          </cell>
          <cell r="R845">
            <v>1</v>
          </cell>
          <cell r="S845">
            <v>0</v>
          </cell>
        </row>
        <row r="846">
          <cell r="F846">
            <v>1498164.3299999998</v>
          </cell>
          <cell r="G846">
            <v>1370864</v>
          </cell>
          <cell r="H846">
            <v>62282.329999999842</v>
          </cell>
          <cell r="I846">
            <v>409</v>
          </cell>
          <cell r="J846">
            <v>432</v>
          </cell>
          <cell r="K846">
            <v>20</v>
          </cell>
          <cell r="L846">
            <v>31779</v>
          </cell>
          <cell r="M846">
            <v>21269</v>
          </cell>
          <cell r="N846">
            <v>642</v>
          </cell>
          <cell r="O846">
            <v>9153</v>
          </cell>
          <cell r="P846">
            <v>1309</v>
          </cell>
          <cell r="Q846">
            <v>5</v>
          </cell>
          <cell r="R846">
            <v>1498164.3299999998</v>
          </cell>
          <cell r="S846">
            <v>0</v>
          </cell>
        </row>
        <row r="847">
          <cell r="E847" t="str">
            <v>K411</v>
          </cell>
          <cell r="F847">
            <v>1</v>
          </cell>
          <cell r="G847">
            <v>0.91503999999999996</v>
          </cell>
          <cell r="H847">
            <v>4.1570000000000003E-2</v>
          </cell>
          <cell r="I847">
            <v>2.7E-4</v>
          </cell>
          <cell r="J847">
            <v>2.9E-4</v>
          </cell>
          <cell r="K847">
            <v>1.0000000000000001E-5</v>
          </cell>
          <cell r="L847">
            <v>2.121E-2</v>
          </cell>
          <cell r="M847">
            <v>1.4200000000000001E-2</v>
          </cell>
          <cell r="N847">
            <v>4.2999999999999999E-4</v>
          </cell>
          <cell r="O847">
            <v>6.11E-3</v>
          </cell>
          <cell r="P847">
            <v>8.7000000000000001E-4</v>
          </cell>
          <cell r="Q847">
            <v>0</v>
          </cell>
          <cell r="R847">
            <v>0.99999999999999989</v>
          </cell>
          <cell r="S847">
            <v>0</v>
          </cell>
        </row>
        <row r="848">
          <cell r="F848">
            <v>4178319049</v>
          </cell>
          <cell r="G848">
            <v>1508499412</v>
          </cell>
          <cell r="H848">
            <v>1170020285</v>
          </cell>
          <cell r="I848">
            <v>6457090</v>
          </cell>
          <cell r="J848">
            <v>19810437</v>
          </cell>
          <cell r="K848">
            <v>277908</v>
          </cell>
          <cell r="L848">
            <v>703656372</v>
          </cell>
          <cell r="M848">
            <v>514497482</v>
          </cell>
          <cell r="N848">
            <v>16235892</v>
          </cell>
          <cell r="O848">
            <v>218940404</v>
          </cell>
          <cell r="P848">
            <v>19741342</v>
          </cell>
          <cell r="Q848">
            <v>182425</v>
          </cell>
          <cell r="R848">
            <v>4178319049</v>
          </cell>
          <cell r="S848">
            <v>0</v>
          </cell>
        </row>
        <row r="849">
          <cell r="E849" t="str">
            <v>K302</v>
          </cell>
          <cell r="F849">
            <v>1</v>
          </cell>
          <cell r="G849">
            <v>0.36102000000000001</v>
          </cell>
          <cell r="H849">
            <v>0.28001999999999999</v>
          </cell>
          <cell r="I849">
            <v>1.5499999999999999E-3</v>
          </cell>
          <cell r="J849">
            <v>4.7400000000000003E-3</v>
          </cell>
          <cell r="K849">
            <v>6.9999999999999994E-5</v>
          </cell>
          <cell r="L849">
            <v>0.16841</v>
          </cell>
          <cell r="M849">
            <v>0.12314</v>
          </cell>
          <cell r="N849">
            <v>3.8899999999999998E-3</v>
          </cell>
          <cell r="O849">
            <v>5.2400000000000002E-2</v>
          </cell>
          <cell r="P849">
            <v>4.7200000000000002E-3</v>
          </cell>
          <cell r="Q849">
            <v>4.0000000000000003E-5</v>
          </cell>
          <cell r="R849">
            <v>1</v>
          </cell>
          <cell r="S849">
            <v>0</v>
          </cell>
        </row>
        <row r="851">
          <cell r="E851" t="str">
            <v>R600</v>
          </cell>
          <cell r="F851">
            <v>67247690</v>
          </cell>
          <cell r="G851">
            <v>32765074</v>
          </cell>
          <cell r="H851">
            <v>17426134</v>
          </cell>
          <cell r="I851">
            <v>80495</v>
          </cell>
          <cell r="J851">
            <v>283762</v>
          </cell>
          <cell r="K851">
            <v>4113</v>
          </cell>
          <cell r="L851">
            <v>8249774</v>
          </cell>
          <cell r="M851">
            <v>5652693</v>
          </cell>
          <cell r="N851">
            <v>206277</v>
          </cell>
          <cell r="O851">
            <v>2492326</v>
          </cell>
          <cell r="P851">
            <v>84688</v>
          </cell>
          <cell r="Q851">
            <v>2354</v>
          </cell>
          <cell r="R851">
            <v>67247690</v>
          </cell>
          <cell r="S851">
            <v>0</v>
          </cell>
        </row>
        <row r="852">
          <cell r="E852" t="str">
            <v>R602</v>
          </cell>
          <cell r="F852">
            <v>96533814</v>
          </cell>
          <cell r="G852">
            <v>94908186</v>
          </cell>
          <cell r="H852">
            <v>821503</v>
          </cell>
          <cell r="I852">
            <v>3861</v>
          </cell>
          <cell r="J852">
            <v>13515</v>
          </cell>
          <cell r="K852">
            <v>0</v>
          </cell>
          <cell r="L852">
            <v>389031</v>
          </cell>
          <cell r="M852">
            <v>266433</v>
          </cell>
          <cell r="N852">
            <v>9653</v>
          </cell>
          <cell r="O852">
            <v>117771</v>
          </cell>
          <cell r="P852">
            <v>3861</v>
          </cell>
          <cell r="Q852">
            <v>0</v>
          </cell>
          <cell r="R852">
            <v>96533814</v>
          </cell>
          <cell r="S852">
            <v>0</v>
          </cell>
        </row>
        <row r="854">
          <cell r="R854" t="str">
            <v>FR-16(7)(v)-3</v>
          </cell>
        </row>
        <row r="855">
          <cell r="R855" t="str">
            <v>WITNESS RESPONSIBLE:</v>
          </cell>
        </row>
        <row r="856">
          <cell r="R856" t="str">
            <v>JAMES E. ZIOLKOWSKI</v>
          </cell>
        </row>
        <row r="857">
          <cell r="R857" t="str">
            <v>PAGE 17 OF 18</v>
          </cell>
        </row>
        <row r="860">
          <cell r="F860" t="str">
            <v>TOTAL</v>
          </cell>
          <cell r="H860" t="str">
            <v>DS</v>
          </cell>
          <cell r="I860" t="str">
            <v>GSFL</v>
          </cell>
          <cell r="J860" t="str">
            <v>EH</v>
          </cell>
          <cell r="K860" t="str">
            <v>SP</v>
          </cell>
          <cell r="L860" t="str">
            <v>DT SEC</v>
          </cell>
          <cell r="M860" t="str">
            <v>DT PRI</v>
          </cell>
          <cell r="N860" t="str">
            <v>DP</v>
          </cell>
          <cell r="O860" t="str">
            <v>TT</v>
          </cell>
          <cell r="Q860" t="str">
            <v>OTHER</v>
          </cell>
        </row>
        <row r="861">
          <cell r="F861" t="str">
            <v>PRODUCTION</v>
          </cell>
          <cell r="G861" t="str">
            <v>RS</v>
          </cell>
          <cell r="H861" t="str">
            <v>SECONDARY</v>
          </cell>
          <cell r="I861" t="str">
            <v>SECONDARY</v>
          </cell>
          <cell r="J861" t="str">
            <v>SECONDARY</v>
          </cell>
          <cell r="K861" t="str">
            <v>SECONDARY</v>
          </cell>
          <cell r="L861" t="str">
            <v>SECONDARY</v>
          </cell>
          <cell r="M861" t="str">
            <v>PRIMARY</v>
          </cell>
          <cell r="N861" t="str">
            <v>PRIMARY</v>
          </cell>
          <cell r="O861" t="str">
            <v>TRANSMISSION</v>
          </cell>
          <cell r="P861" t="str">
            <v>LT</v>
          </cell>
          <cell r="Q861" t="str">
            <v>WATER</v>
          </cell>
          <cell r="R861" t="str">
            <v>TOTAL</v>
          </cell>
          <cell r="S861" t="str">
            <v>ALL</v>
          </cell>
        </row>
        <row r="862">
          <cell r="E862" t="str">
            <v>ALLO</v>
          </cell>
          <cell r="F862" t="str">
            <v>DEMAND</v>
          </cell>
          <cell r="G862" t="str">
            <v>RESIDENTIAL</v>
          </cell>
          <cell r="H862" t="str">
            <v>DISTRIBUTION</v>
          </cell>
          <cell r="I862" t="str">
            <v>DISTRIBUTION</v>
          </cell>
          <cell r="J862" t="str">
            <v>DISTRIBUTION</v>
          </cell>
          <cell r="K862" t="str">
            <v>DISTRIBUTION</v>
          </cell>
          <cell r="L862" t="str">
            <v>DISTRIBUTION</v>
          </cell>
          <cell r="M862" t="str">
            <v>DISTRIBUTION</v>
          </cell>
          <cell r="N862" t="str">
            <v>DISTRIBUTION</v>
          </cell>
          <cell r="O862" t="str">
            <v>TIME OF DAY</v>
          </cell>
          <cell r="P862" t="str">
            <v>LIGHTING</v>
          </cell>
          <cell r="Q862" t="str">
            <v>PUMPING</v>
          </cell>
          <cell r="R862" t="str">
            <v>AT ISSUE</v>
          </cell>
          <cell r="S862" t="str">
            <v>OTHER</v>
          </cell>
        </row>
        <row r="863">
          <cell r="E863">
            <v>1</v>
          </cell>
          <cell r="G863">
            <v>3</v>
          </cell>
          <cell r="H863">
            <v>4</v>
          </cell>
          <cell r="I863">
            <v>5</v>
          </cell>
          <cell r="J863">
            <v>6</v>
          </cell>
          <cell r="K863">
            <v>7</v>
          </cell>
          <cell r="L863">
            <v>8</v>
          </cell>
          <cell r="M863">
            <v>9</v>
          </cell>
          <cell r="N863">
            <v>10</v>
          </cell>
          <cell r="O863">
            <v>11</v>
          </cell>
          <cell r="P863">
            <v>12</v>
          </cell>
          <cell r="Q863">
            <v>13</v>
          </cell>
          <cell r="S863" t="str">
            <v xml:space="preserve"> </v>
          </cell>
        </row>
        <row r="865">
          <cell r="F865">
            <v>304312778</v>
          </cell>
          <cell r="G865">
            <v>120391018</v>
          </cell>
          <cell r="H865">
            <v>89967454</v>
          </cell>
          <cell r="I865">
            <v>589997</v>
          </cell>
          <cell r="J865">
            <v>623628</v>
          </cell>
          <cell r="K865">
            <v>28730</v>
          </cell>
          <cell r="L865">
            <v>45903624</v>
          </cell>
          <cell r="M865">
            <v>30722085</v>
          </cell>
          <cell r="N865">
            <v>926746</v>
          </cell>
          <cell r="O865">
            <v>13220511</v>
          </cell>
          <cell r="P865">
            <v>1889364</v>
          </cell>
          <cell r="Q865">
            <v>7414</v>
          </cell>
          <cell r="R865">
            <v>304270571</v>
          </cell>
          <cell r="S865">
            <v>42207</v>
          </cell>
        </row>
        <row r="866">
          <cell r="E866" t="str">
            <v>K901</v>
          </cell>
          <cell r="F866">
            <v>1</v>
          </cell>
          <cell r="G866">
            <v>0.395616046</v>
          </cell>
          <cell r="H866">
            <v>0.295641394</v>
          </cell>
          <cell r="I866">
            <v>1.9387849999999999E-3</v>
          </cell>
          <cell r="J866">
            <v>2.0492990000000001E-3</v>
          </cell>
          <cell r="K866">
            <v>9.4408999999999997E-5</v>
          </cell>
          <cell r="L866">
            <v>0.15084356400000001</v>
          </cell>
          <cell r="M866">
            <v>0.100955619</v>
          </cell>
          <cell r="N866">
            <v>3.0453730000000001E-3</v>
          </cell>
          <cell r="O866">
            <v>4.3443824999999998E-2</v>
          </cell>
          <cell r="P866">
            <v>6.2086249999999997E-3</v>
          </cell>
          <cell r="Q866">
            <v>2.4363E-5</v>
          </cell>
          <cell r="R866">
            <v>0.9998613019999999</v>
          </cell>
          <cell r="S866">
            <v>1.3869800000010368E-4</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K902</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72">
          <cell r="E872" t="str">
            <v>P129</v>
          </cell>
          <cell r="F872">
            <v>1</v>
          </cell>
          <cell r="G872">
            <v>0.41778999999999988</v>
          </cell>
          <cell r="H872">
            <v>0.29422999999999999</v>
          </cell>
          <cell r="I872">
            <v>1.3600000000000001E-3</v>
          </cell>
          <cell r="J872">
            <v>4.79E-3</v>
          </cell>
          <cell r="K872">
            <v>6.9999999999999994E-5</v>
          </cell>
          <cell r="L872">
            <v>0.13929</v>
          </cell>
          <cell r="M872">
            <v>9.5439999999999997E-2</v>
          </cell>
          <cell r="N872">
            <v>3.48E-3</v>
          </cell>
          <cell r="O872">
            <v>4.2079999999999999E-2</v>
          </cell>
          <cell r="P872">
            <v>1.4300000000000001E-3</v>
          </cell>
          <cell r="Q872">
            <v>4.0000000000000003E-5</v>
          </cell>
          <cell r="R872">
            <v>1</v>
          </cell>
          <cell r="S872">
            <v>0</v>
          </cell>
        </row>
        <row r="873">
          <cell r="E873" t="str">
            <v>T129</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row>
        <row r="874">
          <cell r="E874" t="str">
            <v>PT29</v>
          </cell>
          <cell r="F874">
            <v>1</v>
          </cell>
          <cell r="G874">
            <v>0.41778999999999988</v>
          </cell>
          <cell r="H874">
            <v>0.29422999999999999</v>
          </cell>
          <cell r="I874">
            <v>1.3600000000000001E-3</v>
          </cell>
          <cell r="J874">
            <v>4.79E-3</v>
          </cell>
          <cell r="K874">
            <v>6.9999999999999994E-5</v>
          </cell>
          <cell r="L874">
            <v>0.13929</v>
          </cell>
          <cell r="M874">
            <v>9.5439999999999997E-2</v>
          </cell>
          <cell r="N874">
            <v>3.48E-3</v>
          </cell>
          <cell r="O874">
            <v>4.2079999999999999E-2</v>
          </cell>
          <cell r="P874">
            <v>1.4300000000000001E-3</v>
          </cell>
          <cell r="Q874">
            <v>4.0000000000000003E-5</v>
          </cell>
          <cell r="R874">
            <v>1</v>
          </cell>
          <cell r="S874">
            <v>0</v>
          </cell>
        </row>
        <row r="875">
          <cell r="E875" t="str">
            <v>D149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TD29</v>
          </cell>
          <cell r="F876">
            <v>1</v>
          </cell>
          <cell r="G876">
            <v>0.41778999999999988</v>
          </cell>
          <cell r="H876">
            <v>0.29422999999999999</v>
          </cell>
          <cell r="I876">
            <v>1.3600000000000001E-3</v>
          </cell>
          <cell r="J876">
            <v>4.79E-3</v>
          </cell>
          <cell r="K876">
            <v>6.9999999999999994E-5</v>
          </cell>
          <cell r="L876">
            <v>0.13929</v>
          </cell>
          <cell r="M876">
            <v>9.5439999999999997E-2</v>
          </cell>
          <cell r="N876">
            <v>3.48E-3</v>
          </cell>
          <cell r="O876">
            <v>4.2079999999999999E-2</v>
          </cell>
          <cell r="P876">
            <v>1.4300000000000001E-3</v>
          </cell>
          <cell r="Q876">
            <v>4.0000000000000003E-5</v>
          </cell>
          <cell r="R876">
            <v>1</v>
          </cell>
          <cell r="S876">
            <v>0</v>
          </cell>
        </row>
        <row r="877">
          <cell r="E877" t="str">
            <v>PD29</v>
          </cell>
          <cell r="F877">
            <v>1</v>
          </cell>
          <cell r="G877">
            <v>0.41778999999999988</v>
          </cell>
          <cell r="H877">
            <v>0.29422999999999999</v>
          </cell>
          <cell r="I877">
            <v>1.3600000000000001E-3</v>
          </cell>
          <cell r="J877">
            <v>4.79E-3</v>
          </cell>
          <cell r="K877">
            <v>6.9999999999999994E-5</v>
          </cell>
          <cell r="L877">
            <v>0.13929</v>
          </cell>
          <cell r="M877">
            <v>9.5439999999999997E-2</v>
          </cell>
          <cell r="N877">
            <v>3.48E-3</v>
          </cell>
          <cell r="O877">
            <v>4.2079999999999999E-2</v>
          </cell>
          <cell r="P877">
            <v>1.4300000000000001E-3</v>
          </cell>
          <cell r="Q877">
            <v>4.0000000000000003E-5</v>
          </cell>
          <cell r="R877">
            <v>1</v>
          </cell>
          <cell r="S877">
            <v>0</v>
          </cell>
        </row>
        <row r="878">
          <cell r="E878" t="str">
            <v>G129</v>
          </cell>
          <cell r="F878">
            <v>1</v>
          </cell>
          <cell r="G878">
            <v>0.41778999999999988</v>
          </cell>
          <cell r="H878">
            <v>0.29422999999999999</v>
          </cell>
          <cell r="I878">
            <v>1.3600000000000001E-3</v>
          </cell>
          <cell r="J878">
            <v>4.79E-3</v>
          </cell>
          <cell r="K878">
            <v>6.9999999999999994E-5</v>
          </cell>
          <cell r="L878">
            <v>0.13929</v>
          </cell>
          <cell r="M878">
            <v>9.5439999999999997E-2</v>
          </cell>
          <cell r="N878">
            <v>3.48E-3</v>
          </cell>
          <cell r="O878">
            <v>4.2079999999999999E-2</v>
          </cell>
          <cell r="P878">
            <v>1.4300000000000001E-3</v>
          </cell>
          <cell r="Q878">
            <v>4.0000000000000003E-5</v>
          </cell>
          <cell r="R878">
            <v>1</v>
          </cell>
          <cell r="S878">
            <v>0</v>
          </cell>
        </row>
        <row r="879">
          <cell r="E879" t="str">
            <v>C129</v>
          </cell>
          <cell r="F879">
            <v>1</v>
          </cell>
          <cell r="G879">
            <v>0.41778999999999988</v>
          </cell>
          <cell r="H879">
            <v>0.29422999999999999</v>
          </cell>
          <cell r="I879">
            <v>1.3600000000000001E-3</v>
          </cell>
          <cell r="J879">
            <v>4.79E-3</v>
          </cell>
          <cell r="K879">
            <v>6.9999999999999994E-5</v>
          </cell>
          <cell r="L879">
            <v>0.13929</v>
          </cell>
          <cell r="M879">
            <v>9.5439999999999997E-2</v>
          </cell>
          <cell r="N879">
            <v>3.48E-3</v>
          </cell>
          <cell r="O879">
            <v>4.2079999999999999E-2</v>
          </cell>
          <cell r="P879">
            <v>1.4300000000000001E-3</v>
          </cell>
          <cell r="Q879">
            <v>4.0000000000000003E-5</v>
          </cell>
          <cell r="R879">
            <v>1</v>
          </cell>
          <cell r="S879">
            <v>0</v>
          </cell>
        </row>
        <row r="880">
          <cell r="E880" t="str">
            <v>GP19</v>
          </cell>
          <cell r="F880">
            <v>1</v>
          </cell>
          <cell r="G880">
            <v>1</v>
          </cell>
          <cell r="H880">
            <v>0</v>
          </cell>
          <cell r="I880">
            <v>0</v>
          </cell>
          <cell r="J880">
            <v>0</v>
          </cell>
          <cell r="K880">
            <v>0</v>
          </cell>
          <cell r="L880">
            <v>0</v>
          </cell>
          <cell r="M880">
            <v>0</v>
          </cell>
          <cell r="N880">
            <v>0</v>
          </cell>
          <cell r="O880">
            <v>0</v>
          </cell>
          <cell r="P880">
            <v>0</v>
          </cell>
          <cell r="Q880">
            <v>0</v>
          </cell>
          <cell r="R880">
            <v>1</v>
          </cell>
          <cell r="S880">
            <v>0</v>
          </cell>
        </row>
        <row r="881">
          <cell r="E881" t="str">
            <v>DR19</v>
          </cell>
          <cell r="F881">
            <v>1</v>
          </cell>
          <cell r="G881">
            <v>0.41700999999999988</v>
          </cell>
          <cell r="H881">
            <v>0.29461999999999999</v>
          </cell>
          <cell r="I881">
            <v>1.3600000000000001E-3</v>
          </cell>
          <cell r="J881">
            <v>4.7999999999999996E-3</v>
          </cell>
          <cell r="K881">
            <v>6.9999999999999994E-5</v>
          </cell>
          <cell r="L881">
            <v>0.13947999999999999</v>
          </cell>
          <cell r="M881">
            <v>9.5570000000000002E-2</v>
          </cell>
          <cell r="N881">
            <v>3.48E-3</v>
          </cell>
          <cell r="O881">
            <v>4.2139999999999997E-2</v>
          </cell>
          <cell r="P881">
            <v>1.4300000000000001E-3</v>
          </cell>
          <cell r="Q881">
            <v>4.0000000000000003E-5</v>
          </cell>
          <cell r="R881">
            <v>1</v>
          </cell>
          <cell r="S881">
            <v>0</v>
          </cell>
        </row>
        <row r="884">
          <cell r="E884" t="str">
            <v>P229</v>
          </cell>
          <cell r="F884">
            <v>1</v>
          </cell>
          <cell r="G884">
            <v>0.41778999999999988</v>
          </cell>
          <cell r="H884">
            <v>0.29422999999999999</v>
          </cell>
          <cell r="I884">
            <v>1.3600000000000001E-3</v>
          </cell>
          <cell r="J884">
            <v>4.79E-3</v>
          </cell>
          <cell r="K884">
            <v>6.9999999999999994E-5</v>
          </cell>
          <cell r="L884">
            <v>0.13929</v>
          </cell>
          <cell r="M884">
            <v>9.5439999999999997E-2</v>
          </cell>
          <cell r="N884">
            <v>3.48E-3</v>
          </cell>
          <cell r="O884">
            <v>4.2079999999999999E-2</v>
          </cell>
          <cell r="P884">
            <v>1.4300000000000001E-3</v>
          </cell>
          <cell r="Q884">
            <v>4.0000000000000003E-5</v>
          </cell>
          <cell r="R884">
            <v>1</v>
          </cell>
          <cell r="S884">
            <v>0</v>
          </cell>
        </row>
        <row r="885">
          <cell r="E885" t="str">
            <v>T229</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row>
        <row r="886">
          <cell r="E886" t="str">
            <v>PL49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D249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NT29</v>
          </cell>
          <cell r="F888">
            <v>1</v>
          </cell>
          <cell r="G888">
            <v>0.41778999999999988</v>
          </cell>
          <cell r="H888">
            <v>0.29422999999999999</v>
          </cell>
          <cell r="I888">
            <v>1.3600000000000001E-3</v>
          </cell>
          <cell r="J888">
            <v>4.79E-3</v>
          </cell>
          <cell r="K888">
            <v>6.9999999999999994E-5</v>
          </cell>
          <cell r="L888">
            <v>0.13929</v>
          </cell>
          <cell r="M888">
            <v>9.5439999999999997E-2</v>
          </cell>
          <cell r="N888">
            <v>3.48E-3</v>
          </cell>
          <cell r="O888">
            <v>4.2079999999999999E-2</v>
          </cell>
          <cell r="P888">
            <v>1.4300000000000001E-3</v>
          </cell>
          <cell r="Q888">
            <v>4.0000000000000003E-5</v>
          </cell>
          <cell r="R888">
            <v>1</v>
          </cell>
          <cell r="S888">
            <v>0</v>
          </cell>
        </row>
        <row r="889">
          <cell r="E889" t="str">
            <v>G229</v>
          </cell>
          <cell r="F889">
            <v>1</v>
          </cell>
          <cell r="G889">
            <v>0.48531999999999986</v>
          </cell>
          <cell r="H889">
            <v>0.2601</v>
          </cell>
          <cell r="I889">
            <v>1.1999999999999999E-3</v>
          </cell>
          <cell r="J889">
            <v>4.2300000000000003E-3</v>
          </cell>
          <cell r="K889">
            <v>6.0000000000000002E-5</v>
          </cell>
          <cell r="L889">
            <v>0.12314</v>
          </cell>
          <cell r="M889">
            <v>8.4370000000000001E-2</v>
          </cell>
          <cell r="N889">
            <v>3.0799999999999998E-3</v>
          </cell>
          <cell r="O889">
            <v>3.7199999999999997E-2</v>
          </cell>
          <cell r="P889">
            <v>1.2600000000000001E-3</v>
          </cell>
          <cell r="Q889">
            <v>4.0000000000000003E-5</v>
          </cell>
          <cell r="R889">
            <v>0.99999999999999989</v>
          </cell>
          <cell r="S889">
            <v>0</v>
          </cell>
        </row>
        <row r="890">
          <cell r="E890" t="str">
            <v>C229</v>
          </cell>
          <cell r="F890">
            <v>1</v>
          </cell>
          <cell r="G890">
            <v>0.53974999999999995</v>
          </cell>
          <cell r="H890">
            <v>0.23258999999999999</v>
          </cell>
          <cell r="I890">
            <v>1.08E-3</v>
          </cell>
          <cell r="J890">
            <v>3.79E-3</v>
          </cell>
          <cell r="K890">
            <v>5.0000000000000002E-5</v>
          </cell>
          <cell r="L890">
            <v>0.11011</v>
          </cell>
          <cell r="M890">
            <v>7.5450000000000003E-2</v>
          </cell>
          <cell r="N890">
            <v>2.7499999999999998E-3</v>
          </cell>
          <cell r="O890">
            <v>3.3270000000000001E-2</v>
          </cell>
          <cell r="P890">
            <v>1.1299999999999999E-3</v>
          </cell>
          <cell r="Q890">
            <v>3.0000000000000001E-5</v>
          </cell>
          <cell r="R890">
            <v>0.99999999999999989</v>
          </cell>
          <cell r="S890">
            <v>0</v>
          </cell>
        </row>
        <row r="891">
          <cell r="E891" t="str">
            <v>NP29</v>
          </cell>
          <cell r="F891">
            <v>1</v>
          </cell>
          <cell r="G891">
            <v>0.41877999999999993</v>
          </cell>
          <cell r="H891">
            <v>0.29372999999999999</v>
          </cell>
          <cell r="I891">
            <v>1.3600000000000001E-3</v>
          </cell>
          <cell r="J891">
            <v>4.7800000000000004E-3</v>
          </cell>
          <cell r="K891">
            <v>6.9999999999999994E-5</v>
          </cell>
          <cell r="L891">
            <v>0.13905000000000001</v>
          </cell>
          <cell r="M891">
            <v>9.5280000000000004E-2</v>
          </cell>
          <cell r="N891">
            <v>3.47E-3</v>
          </cell>
          <cell r="O891">
            <v>4.2009999999999999E-2</v>
          </cell>
          <cell r="P891">
            <v>1.4300000000000001E-3</v>
          </cell>
          <cell r="Q891">
            <v>4.0000000000000003E-5</v>
          </cell>
          <cell r="R891">
            <v>1</v>
          </cell>
          <cell r="S891">
            <v>0</v>
          </cell>
        </row>
        <row r="894">
          <cell r="E894" t="str">
            <v>W669</v>
          </cell>
          <cell r="F894">
            <v>1</v>
          </cell>
          <cell r="G894">
            <v>0.41778999999999988</v>
          </cell>
          <cell r="H894">
            <v>0.29422999999999999</v>
          </cell>
          <cell r="I894">
            <v>1.3600000000000001E-3</v>
          </cell>
          <cell r="J894">
            <v>4.79E-3</v>
          </cell>
          <cell r="K894">
            <v>6.9999999999999994E-5</v>
          </cell>
          <cell r="L894">
            <v>0.13929</v>
          </cell>
          <cell r="M894">
            <v>9.5439999999999997E-2</v>
          </cell>
          <cell r="N894">
            <v>3.48E-3</v>
          </cell>
          <cell r="O894">
            <v>4.2079999999999999E-2</v>
          </cell>
          <cell r="P894">
            <v>1.4300000000000001E-3</v>
          </cell>
          <cell r="Q894">
            <v>4.0000000000000003E-5</v>
          </cell>
          <cell r="R894">
            <v>1</v>
          </cell>
          <cell r="S894">
            <v>0</v>
          </cell>
        </row>
        <row r="895">
          <cell r="E895" t="str">
            <v>W689</v>
          </cell>
          <cell r="F895">
            <v>1</v>
          </cell>
          <cell r="G895">
            <v>1</v>
          </cell>
          <cell r="H895">
            <v>0</v>
          </cell>
          <cell r="I895">
            <v>0</v>
          </cell>
          <cell r="J895">
            <v>0</v>
          </cell>
          <cell r="K895">
            <v>0</v>
          </cell>
          <cell r="L895">
            <v>0</v>
          </cell>
          <cell r="M895">
            <v>0</v>
          </cell>
          <cell r="N895">
            <v>0</v>
          </cell>
          <cell r="O895">
            <v>0</v>
          </cell>
          <cell r="P895">
            <v>0</v>
          </cell>
          <cell r="Q895">
            <v>0</v>
          </cell>
          <cell r="R895">
            <v>1</v>
          </cell>
          <cell r="S895">
            <v>0</v>
          </cell>
        </row>
        <row r="896">
          <cell r="E896" t="str">
            <v>W719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W749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WC79</v>
          </cell>
          <cell r="F898">
            <v>1</v>
          </cell>
          <cell r="G898">
            <v>0.41778999999999988</v>
          </cell>
          <cell r="H898">
            <v>0.29422999999999999</v>
          </cell>
          <cell r="I898">
            <v>1.3600000000000001E-3</v>
          </cell>
          <cell r="J898">
            <v>4.79E-3</v>
          </cell>
          <cell r="K898">
            <v>6.9999999999999994E-5</v>
          </cell>
          <cell r="L898">
            <v>0.13929</v>
          </cell>
          <cell r="M898">
            <v>9.5439999999999997E-2</v>
          </cell>
          <cell r="N898">
            <v>3.48E-3</v>
          </cell>
          <cell r="O898">
            <v>4.2079999999999999E-2</v>
          </cell>
          <cell r="P898">
            <v>1.4300000000000001E-3</v>
          </cell>
          <cell r="Q898">
            <v>4.0000000000000003E-5</v>
          </cell>
          <cell r="R898">
            <v>1</v>
          </cell>
          <cell r="S898">
            <v>0</v>
          </cell>
        </row>
        <row r="901">
          <cell r="E901" t="str">
            <v>RB29</v>
          </cell>
          <cell r="F901">
            <v>1</v>
          </cell>
          <cell r="G901">
            <v>0.41188999999999998</v>
          </cell>
          <cell r="H901">
            <v>0.29720999999999997</v>
          </cell>
          <cell r="I901">
            <v>1.3699999999999999E-3</v>
          </cell>
          <cell r="J901">
            <v>4.8399999999999997E-3</v>
          </cell>
          <cell r="K901">
            <v>6.9999999999999994E-5</v>
          </cell>
          <cell r="L901">
            <v>0.14069999999999999</v>
          </cell>
          <cell r="M901">
            <v>9.6409999999999996E-2</v>
          </cell>
          <cell r="N901">
            <v>3.5200000000000001E-3</v>
          </cell>
          <cell r="O901">
            <v>4.2509999999999999E-2</v>
          </cell>
          <cell r="P901">
            <v>1.4400000000000001E-3</v>
          </cell>
          <cell r="Q901">
            <v>4.0000000000000003E-5</v>
          </cell>
          <cell r="R901">
            <v>1</v>
          </cell>
          <cell r="S901">
            <v>0</v>
          </cell>
        </row>
        <row r="902">
          <cell r="E902" t="str">
            <v>RB99</v>
          </cell>
          <cell r="F902">
            <v>1</v>
          </cell>
          <cell r="G902">
            <v>0.41200999999999999</v>
          </cell>
          <cell r="H902">
            <v>0.29715000000000003</v>
          </cell>
          <cell r="I902">
            <v>1.3699999999999999E-3</v>
          </cell>
          <cell r="J902">
            <v>4.8399999999999997E-3</v>
          </cell>
          <cell r="K902">
            <v>6.9999999999999994E-5</v>
          </cell>
          <cell r="L902">
            <v>0.14066999999999999</v>
          </cell>
          <cell r="M902">
            <v>9.6390000000000003E-2</v>
          </cell>
          <cell r="N902">
            <v>3.5200000000000001E-3</v>
          </cell>
          <cell r="O902">
            <v>4.2500000000000003E-2</v>
          </cell>
          <cell r="P902">
            <v>1.4400000000000001E-3</v>
          </cell>
          <cell r="Q902">
            <v>4.0000000000000003E-5</v>
          </cell>
          <cell r="R902">
            <v>0.99999999999999989</v>
          </cell>
          <cell r="S902">
            <v>0</v>
          </cell>
        </row>
        <row r="903">
          <cell r="E903" t="str">
            <v>CW29</v>
          </cell>
          <cell r="F903">
            <v>1</v>
          </cell>
          <cell r="G903">
            <v>1</v>
          </cell>
          <cell r="H903">
            <v>0</v>
          </cell>
          <cell r="I903">
            <v>0</v>
          </cell>
          <cell r="J903">
            <v>0</v>
          </cell>
          <cell r="K903">
            <v>0</v>
          </cell>
          <cell r="L903">
            <v>0</v>
          </cell>
          <cell r="M903">
            <v>0</v>
          </cell>
          <cell r="N903">
            <v>0</v>
          </cell>
          <cell r="O903">
            <v>0</v>
          </cell>
          <cell r="P903">
            <v>0</v>
          </cell>
          <cell r="Q903">
            <v>0</v>
          </cell>
          <cell r="R903">
            <v>1</v>
          </cell>
          <cell r="S903">
            <v>0</v>
          </cell>
        </row>
        <row r="905">
          <cell r="R905" t="str">
            <v>FR-16(7)(v)-3</v>
          </cell>
        </row>
        <row r="906">
          <cell r="R906" t="str">
            <v>WITNESS RESPONSIBLE:</v>
          </cell>
        </row>
        <row r="907">
          <cell r="R907" t="str">
            <v>JAMES E. ZIOLKOWSKI</v>
          </cell>
        </row>
        <row r="908">
          <cell r="R908" t="str">
            <v>PAGE 18 OF 18</v>
          </cell>
        </row>
        <row r="911">
          <cell r="F911" t="str">
            <v>TOTAL</v>
          </cell>
          <cell r="H911" t="str">
            <v>DS</v>
          </cell>
          <cell r="I911" t="str">
            <v>GSFL</v>
          </cell>
          <cell r="J911" t="str">
            <v>EH</v>
          </cell>
          <cell r="K911" t="str">
            <v>SP</v>
          </cell>
          <cell r="L911" t="str">
            <v>DT SEC</v>
          </cell>
          <cell r="M911" t="str">
            <v>DT PRI</v>
          </cell>
          <cell r="N911" t="str">
            <v>DP</v>
          </cell>
          <cell r="O911" t="str">
            <v>TT</v>
          </cell>
          <cell r="Q911" t="str">
            <v>OTHER</v>
          </cell>
        </row>
        <row r="912">
          <cell r="F912" t="str">
            <v>PRODUCTION</v>
          </cell>
          <cell r="G912" t="str">
            <v>RS</v>
          </cell>
          <cell r="H912" t="str">
            <v>SECONDARY</v>
          </cell>
          <cell r="I912" t="str">
            <v>SECONDARY</v>
          </cell>
          <cell r="J912" t="str">
            <v>SECONDARY</v>
          </cell>
          <cell r="K912" t="str">
            <v>SECONDARY</v>
          </cell>
          <cell r="L912" t="str">
            <v>SECONDARY</v>
          </cell>
          <cell r="M912" t="str">
            <v>PRIMARY</v>
          </cell>
          <cell r="N912" t="str">
            <v>PRIMARY</v>
          </cell>
          <cell r="O912" t="str">
            <v>TRANSMISSION</v>
          </cell>
          <cell r="P912" t="str">
            <v>LT</v>
          </cell>
          <cell r="Q912" t="str">
            <v>WATER</v>
          </cell>
          <cell r="R912" t="str">
            <v>TOTAL</v>
          </cell>
          <cell r="S912" t="str">
            <v>ALL</v>
          </cell>
        </row>
        <row r="913">
          <cell r="E913" t="str">
            <v>ALLO</v>
          </cell>
          <cell r="F913" t="str">
            <v>DEMAND</v>
          </cell>
          <cell r="G913" t="str">
            <v>RESIDENTIAL</v>
          </cell>
          <cell r="H913" t="str">
            <v>DISTRIBUTION</v>
          </cell>
          <cell r="I913" t="str">
            <v>DISTRIBUTION</v>
          </cell>
          <cell r="J913" t="str">
            <v>DISTRIBUTION</v>
          </cell>
          <cell r="K913" t="str">
            <v>DISTRIBUTION</v>
          </cell>
          <cell r="L913" t="str">
            <v>DISTRIBUTION</v>
          </cell>
          <cell r="M913" t="str">
            <v>DISTRIBUTION</v>
          </cell>
          <cell r="N913" t="str">
            <v>DISTRIBUTION</v>
          </cell>
          <cell r="O913" t="str">
            <v>TIME OF DAY</v>
          </cell>
          <cell r="P913" t="str">
            <v>LIGHTING</v>
          </cell>
          <cell r="Q913" t="str">
            <v>PUMPING</v>
          </cell>
          <cell r="R913" t="str">
            <v>AT ISSUE</v>
          </cell>
          <cell r="S913" t="str">
            <v>OTHER</v>
          </cell>
        </row>
        <row r="914">
          <cell r="E914">
            <v>1</v>
          </cell>
          <cell r="G914">
            <v>3</v>
          </cell>
          <cell r="H914">
            <v>4</v>
          </cell>
          <cell r="I914">
            <v>5</v>
          </cell>
          <cell r="J914">
            <v>6</v>
          </cell>
          <cell r="K914">
            <v>7</v>
          </cell>
          <cell r="L914">
            <v>8</v>
          </cell>
          <cell r="M914">
            <v>9</v>
          </cell>
          <cell r="N914">
            <v>10</v>
          </cell>
          <cell r="O914">
            <v>11</v>
          </cell>
          <cell r="P914">
            <v>12</v>
          </cell>
          <cell r="Q914">
            <v>13</v>
          </cell>
          <cell r="S914" t="str">
            <v xml:space="preserve"> </v>
          </cell>
        </row>
        <row r="916">
          <cell r="E916" t="str">
            <v>P349</v>
          </cell>
          <cell r="F916">
            <v>1</v>
          </cell>
          <cell r="G916">
            <v>0</v>
          </cell>
          <cell r="H916">
            <v>0</v>
          </cell>
          <cell r="I916">
            <v>0</v>
          </cell>
          <cell r="J916">
            <v>0</v>
          </cell>
          <cell r="K916">
            <v>0</v>
          </cell>
          <cell r="L916">
            <v>0</v>
          </cell>
          <cell r="M916">
            <v>0</v>
          </cell>
          <cell r="N916">
            <v>0</v>
          </cell>
          <cell r="O916">
            <v>0</v>
          </cell>
          <cell r="P916">
            <v>0</v>
          </cell>
          <cell r="Q916">
            <v>0</v>
          </cell>
          <cell r="R916">
            <v>0</v>
          </cell>
          <cell r="S916">
            <v>1</v>
          </cell>
        </row>
        <row r="917">
          <cell r="E917" t="str">
            <v>E349</v>
          </cell>
          <cell r="F917">
            <v>1</v>
          </cell>
          <cell r="G917">
            <v>1</v>
          </cell>
          <cell r="H917">
            <v>0</v>
          </cell>
          <cell r="I917">
            <v>0</v>
          </cell>
          <cell r="J917">
            <v>0</v>
          </cell>
          <cell r="K917">
            <v>0</v>
          </cell>
          <cell r="L917">
            <v>0</v>
          </cell>
          <cell r="M917">
            <v>0</v>
          </cell>
          <cell r="N917">
            <v>0</v>
          </cell>
          <cell r="O917">
            <v>0</v>
          </cell>
          <cell r="P917">
            <v>0</v>
          </cell>
          <cell r="Q917">
            <v>0</v>
          </cell>
          <cell r="R917">
            <v>1</v>
          </cell>
          <cell r="S917">
            <v>0</v>
          </cell>
        </row>
        <row r="918">
          <cell r="E918" t="str">
            <v>P459</v>
          </cell>
          <cell r="F918">
            <v>1</v>
          </cell>
          <cell r="G918">
            <v>1</v>
          </cell>
          <cell r="H918">
            <v>0</v>
          </cell>
          <cell r="I918">
            <v>0</v>
          </cell>
          <cell r="J918">
            <v>0</v>
          </cell>
          <cell r="K918">
            <v>0</v>
          </cell>
          <cell r="L918">
            <v>0</v>
          </cell>
          <cell r="M918">
            <v>0</v>
          </cell>
          <cell r="N918">
            <v>0</v>
          </cell>
          <cell r="O918">
            <v>0</v>
          </cell>
          <cell r="P918">
            <v>0</v>
          </cell>
          <cell r="Q918">
            <v>0</v>
          </cell>
          <cell r="R918">
            <v>1</v>
          </cell>
          <cell r="S918">
            <v>0</v>
          </cell>
        </row>
        <row r="919">
          <cell r="E919" t="str">
            <v>T349</v>
          </cell>
          <cell r="F919">
            <v>1</v>
          </cell>
          <cell r="G919">
            <v>0</v>
          </cell>
          <cell r="H919">
            <v>0</v>
          </cell>
          <cell r="I919">
            <v>0</v>
          </cell>
          <cell r="J919">
            <v>0</v>
          </cell>
          <cell r="K919">
            <v>0</v>
          </cell>
          <cell r="L919">
            <v>0</v>
          </cell>
          <cell r="M919">
            <v>0</v>
          </cell>
          <cell r="N919">
            <v>0</v>
          </cell>
          <cell r="O919">
            <v>0</v>
          </cell>
          <cell r="P919">
            <v>0</v>
          </cell>
          <cell r="Q919">
            <v>0</v>
          </cell>
          <cell r="R919">
            <v>0</v>
          </cell>
          <cell r="S919">
            <v>1</v>
          </cell>
        </row>
        <row r="920">
          <cell r="E920" t="str">
            <v>D349</v>
          </cell>
          <cell r="F920">
            <v>1</v>
          </cell>
          <cell r="G920">
            <v>0.41778999999999999</v>
          </cell>
          <cell r="H920">
            <v>0.29422999999999999</v>
          </cell>
          <cell r="I920">
            <v>1.3600000000000001E-3</v>
          </cell>
          <cell r="J920">
            <v>4.79E-3</v>
          </cell>
          <cell r="K920">
            <v>6.9999999999999994E-5</v>
          </cell>
          <cell r="L920">
            <v>0.13929</v>
          </cell>
          <cell r="M920">
            <v>9.5439999999999997E-2</v>
          </cell>
          <cell r="N920">
            <v>3.48E-3</v>
          </cell>
          <cell r="O920">
            <v>4.2079999999999999E-2</v>
          </cell>
          <cell r="P920">
            <v>1.4300000000000001E-3</v>
          </cell>
          <cell r="Q920">
            <v>4.0000000000000003E-5</v>
          </cell>
          <cell r="R920">
            <v>1</v>
          </cell>
          <cell r="S920">
            <v>0</v>
          </cell>
        </row>
        <row r="921">
          <cell r="E921" t="str">
            <v>C311</v>
          </cell>
          <cell r="F921">
            <v>1</v>
          </cell>
          <cell r="G921">
            <v>0</v>
          </cell>
          <cell r="H921">
            <v>0</v>
          </cell>
          <cell r="I921">
            <v>0</v>
          </cell>
          <cell r="J921">
            <v>0</v>
          </cell>
          <cell r="K921">
            <v>0</v>
          </cell>
          <cell r="L921">
            <v>0</v>
          </cell>
          <cell r="M921">
            <v>0</v>
          </cell>
          <cell r="N921">
            <v>0</v>
          </cell>
          <cell r="O921">
            <v>0</v>
          </cell>
          <cell r="P921">
            <v>0</v>
          </cell>
          <cell r="Q921">
            <v>0</v>
          </cell>
          <cell r="R921">
            <v>0</v>
          </cell>
          <cell r="S921">
            <v>1</v>
          </cell>
        </row>
        <row r="922">
          <cell r="E922" t="str">
            <v>C319</v>
          </cell>
          <cell r="F922">
            <v>1</v>
          </cell>
          <cell r="G922">
            <v>0</v>
          </cell>
          <cell r="H922">
            <v>0</v>
          </cell>
          <cell r="I922">
            <v>0</v>
          </cell>
          <cell r="J922">
            <v>0</v>
          </cell>
          <cell r="K922">
            <v>0</v>
          </cell>
          <cell r="L922">
            <v>0</v>
          </cell>
          <cell r="M922">
            <v>0</v>
          </cell>
          <cell r="N922">
            <v>0</v>
          </cell>
          <cell r="O922">
            <v>0</v>
          </cell>
          <cell r="P922">
            <v>0</v>
          </cell>
          <cell r="Q922">
            <v>0</v>
          </cell>
          <cell r="R922">
            <v>0</v>
          </cell>
          <cell r="S922">
            <v>1</v>
          </cell>
        </row>
        <row r="923">
          <cell r="E923" t="str">
            <v>C331</v>
          </cell>
          <cell r="F923">
            <v>1</v>
          </cell>
          <cell r="G923">
            <v>0</v>
          </cell>
          <cell r="H923">
            <v>0</v>
          </cell>
          <cell r="I923">
            <v>0</v>
          </cell>
          <cell r="J923">
            <v>0</v>
          </cell>
          <cell r="K923">
            <v>0</v>
          </cell>
          <cell r="L923">
            <v>0</v>
          </cell>
          <cell r="M923">
            <v>0</v>
          </cell>
          <cell r="N923">
            <v>0</v>
          </cell>
          <cell r="O923">
            <v>0</v>
          </cell>
          <cell r="P923">
            <v>0</v>
          </cell>
          <cell r="Q923">
            <v>0</v>
          </cell>
          <cell r="R923">
            <v>0</v>
          </cell>
          <cell r="S923">
            <v>1</v>
          </cell>
        </row>
        <row r="924">
          <cell r="E924" t="str">
            <v>S319</v>
          </cell>
          <cell r="F924">
            <v>1</v>
          </cell>
          <cell r="G924">
            <v>0</v>
          </cell>
          <cell r="H924">
            <v>0</v>
          </cell>
          <cell r="I924">
            <v>0</v>
          </cell>
          <cell r="J924">
            <v>0</v>
          </cell>
          <cell r="K924">
            <v>0</v>
          </cell>
          <cell r="L924">
            <v>0</v>
          </cell>
          <cell r="M924">
            <v>0</v>
          </cell>
          <cell r="N924">
            <v>0</v>
          </cell>
          <cell r="O924">
            <v>0</v>
          </cell>
          <cell r="P924">
            <v>0</v>
          </cell>
          <cell r="Q924">
            <v>0</v>
          </cell>
          <cell r="R924">
            <v>0</v>
          </cell>
          <cell r="S924">
            <v>1</v>
          </cell>
        </row>
        <row r="925">
          <cell r="E925" t="str">
            <v>OM39</v>
          </cell>
          <cell r="F925">
            <v>1</v>
          </cell>
          <cell r="G925">
            <v>0.94601000000000002</v>
          </cell>
          <cell r="H925">
            <v>2.7289999999999998E-2</v>
          </cell>
          <cell r="I925">
            <v>1.2999999999999999E-4</v>
          </cell>
          <cell r="J925">
            <v>4.4000000000000002E-4</v>
          </cell>
          <cell r="K925">
            <v>1.0000000000000001E-5</v>
          </cell>
          <cell r="L925">
            <v>1.2919999999999999E-2</v>
          </cell>
          <cell r="M925">
            <v>8.8500000000000002E-3</v>
          </cell>
          <cell r="N925">
            <v>3.2000000000000003E-4</v>
          </cell>
          <cell r="O925">
            <v>3.8999999999999998E-3</v>
          </cell>
          <cell r="P925">
            <v>1.2999999999999999E-4</v>
          </cell>
          <cell r="Q925">
            <v>0</v>
          </cell>
          <cell r="R925">
            <v>1</v>
          </cell>
          <cell r="S925">
            <v>0</v>
          </cell>
        </row>
        <row r="928">
          <cell r="E928" t="str">
            <v>A300</v>
          </cell>
          <cell r="F928">
            <v>1</v>
          </cell>
          <cell r="G928">
            <v>1</v>
          </cell>
          <cell r="H928">
            <v>0</v>
          </cell>
          <cell r="I928">
            <v>0</v>
          </cell>
          <cell r="J928">
            <v>0</v>
          </cell>
          <cell r="K928">
            <v>0</v>
          </cell>
          <cell r="L928">
            <v>0</v>
          </cell>
          <cell r="M928">
            <v>0</v>
          </cell>
          <cell r="N928">
            <v>0</v>
          </cell>
          <cell r="O928">
            <v>0</v>
          </cell>
          <cell r="P928">
            <v>0</v>
          </cell>
          <cell r="Q928">
            <v>0</v>
          </cell>
          <cell r="R928">
            <v>1</v>
          </cell>
          <cell r="S928">
            <v>0</v>
          </cell>
        </row>
        <row r="929">
          <cell r="E929" t="str">
            <v>A302</v>
          </cell>
          <cell r="F929">
            <v>1</v>
          </cell>
          <cell r="G929">
            <v>0</v>
          </cell>
          <cell r="H929">
            <v>0</v>
          </cell>
          <cell r="I929">
            <v>0</v>
          </cell>
          <cell r="J929">
            <v>0</v>
          </cell>
          <cell r="K929">
            <v>0</v>
          </cell>
          <cell r="L929">
            <v>0</v>
          </cell>
          <cell r="M929">
            <v>0</v>
          </cell>
          <cell r="N929">
            <v>0</v>
          </cell>
          <cell r="O929">
            <v>0</v>
          </cell>
          <cell r="P929">
            <v>0</v>
          </cell>
          <cell r="Q929">
            <v>0</v>
          </cell>
          <cell r="R929">
            <v>0</v>
          </cell>
          <cell r="S929">
            <v>1</v>
          </cell>
        </row>
        <row r="930">
          <cell r="E930" t="str">
            <v>A304</v>
          </cell>
          <cell r="F930">
            <v>1</v>
          </cell>
          <cell r="G930">
            <v>0</v>
          </cell>
          <cell r="H930">
            <v>0</v>
          </cell>
          <cell r="I930">
            <v>0</v>
          </cell>
          <cell r="J930">
            <v>0</v>
          </cell>
          <cell r="K930">
            <v>0</v>
          </cell>
          <cell r="L930">
            <v>0</v>
          </cell>
          <cell r="M930">
            <v>0</v>
          </cell>
          <cell r="N930">
            <v>0</v>
          </cell>
          <cell r="O930">
            <v>0</v>
          </cell>
          <cell r="P930">
            <v>0</v>
          </cell>
          <cell r="Q930">
            <v>0</v>
          </cell>
          <cell r="R930">
            <v>0</v>
          </cell>
          <cell r="S930">
            <v>1</v>
          </cell>
        </row>
        <row r="931">
          <cell r="E931" t="str">
            <v>A306</v>
          </cell>
          <cell r="F931">
            <v>1</v>
          </cell>
          <cell r="G931">
            <v>0.41777999999999998</v>
          </cell>
          <cell r="H931">
            <v>0.29422999999999999</v>
          </cell>
          <cell r="I931">
            <v>1.3600000000000001E-3</v>
          </cell>
          <cell r="J931">
            <v>4.79E-3</v>
          </cell>
          <cell r="K931">
            <v>6.9999999999999994E-5</v>
          </cell>
          <cell r="L931">
            <v>0.13929</v>
          </cell>
          <cell r="M931">
            <v>9.5439999999999997E-2</v>
          </cell>
          <cell r="N931">
            <v>3.48E-3</v>
          </cell>
          <cell r="O931">
            <v>4.2079999999999999E-2</v>
          </cell>
          <cell r="P931">
            <v>1.4300000000000001E-3</v>
          </cell>
          <cell r="Q931">
            <v>4.0000000000000003E-5</v>
          </cell>
          <cell r="R931">
            <v>0.99999000000000016</v>
          </cell>
          <cell r="S931">
            <v>9.9999999998434674E-6</v>
          </cell>
        </row>
        <row r="932">
          <cell r="E932" t="str">
            <v>A308</v>
          </cell>
          <cell r="F932">
            <v>1</v>
          </cell>
          <cell r="G932">
            <v>0</v>
          </cell>
          <cell r="H932">
            <v>0</v>
          </cell>
          <cell r="I932">
            <v>0</v>
          </cell>
          <cell r="J932">
            <v>0</v>
          </cell>
          <cell r="K932">
            <v>0</v>
          </cell>
          <cell r="L932">
            <v>0</v>
          </cell>
          <cell r="M932">
            <v>0</v>
          </cell>
          <cell r="N932">
            <v>0</v>
          </cell>
          <cell r="O932">
            <v>0</v>
          </cell>
          <cell r="P932">
            <v>0</v>
          </cell>
          <cell r="Q932">
            <v>0</v>
          </cell>
          <cell r="R932">
            <v>0</v>
          </cell>
          <cell r="S932">
            <v>1</v>
          </cell>
        </row>
        <row r="933">
          <cell r="E933" t="str">
            <v>A310</v>
          </cell>
          <cell r="F933">
            <v>1</v>
          </cell>
          <cell r="G933">
            <v>0</v>
          </cell>
          <cell r="H933">
            <v>0</v>
          </cell>
          <cell r="I933">
            <v>0</v>
          </cell>
          <cell r="J933">
            <v>0</v>
          </cell>
          <cell r="K933">
            <v>0</v>
          </cell>
          <cell r="L933">
            <v>0</v>
          </cell>
          <cell r="M933">
            <v>0</v>
          </cell>
          <cell r="N933">
            <v>0</v>
          </cell>
          <cell r="O933">
            <v>0</v>
          </cell>
          <cell r="P933">
            <v>0</v>
          </cell>
          <cell r="Q933">
            <v>0</v>
          </cell>
          <cell r="R933">
            <v>0</v>
          </cell>
          <cell r="S933">
            <v>1</v>
          </cell>
        </row>
        <row r="934">
          <cell r="E934" t="str">
            <v>A312</v>
          </cell>
          <cell r="F934">
            <v>1</v>
          </cell>
          <cell r="G934">
            <v>0</v>
          </cell>
          <cell r="H934">
            <v>0</v>
          </cell>
          <cell r="I934">
            <v>0</v>
          </cell>
          <cell r="J934">
            <v>0</v>
          </cell>
          <cell r="K934">
            <v>0</v>
          </cell>
          <cell r="L934">
            <v>0</v>
          </cell>
          <cell r="M934">
            <v>0</v>
          </cell>
          <cell r="N934">
            <v>0</v>
          </cell>
          <cell r="O934">
            <v>0</v>
          </cell>
          <cell r="P934">
            <v>0</v>
          </cell>
          <cell r="Q934">
            <v>0</v>
          </cell>
          <cell r="R934">
            <v>0</v>
          </cell>
          <cell r="S934">
            <v>1</v>
          </cell>
        </row>
        <row r="935">
          <cell r="E935" t="str">
            <v>A315</v>
          </cell>
          <cell r="F935">
            <v>1</v>
          </cell>
          <cell r="G935">
            <v>0.98316000000000003</v>
          </cell>
          <cell r="H935">
            <v>8.5100000000000002E-3</v>
          </cell>
          <cell r="I935">
            <v>4.0000000000000003E-5</v>
          </cell>
          <cell r="J935">
            <v>1.3999999999999999E-4</v>
          </cell>
          <cell r="K935">
            <v>0</v>
          </cell>
          <cell r="L935">
            <v>4.0299999999999997E-3</v>
          </cell>
          <cell r="M935">
            <v>2.7599999999999999E-3</v>
          </cell>
          <cell r="N935">
            <v>1E-4</v>
          </cell>
          <cell r="O935">
            <v>1.2199999999999999E-3</v>
          </cell>
          <cell r="P935">
            <v>4.0000000000000003E-5</v>
          </cell>
          <cell r="Q935">
            <v>0</v>
          </cell>
          <cell r="R935">
            <v>1</v>
          </cell>
          <cell r="S935">
            <v>0</v>
          </cell>
        </row>
        <row r="936">
          <cell r="E936" t="str">
            <v>A357</v>
          </cell>
          <cell r="F936">
            <v>1</v>
          </cell>
          <cell r="G936">
            <v>0.98316000000000003</v>
          </cell>
          <cell r="H936">
            <v>8.5100000000000002E-3</v>
          </cell>
          <cell r="I936">
            <v>4.0000000000000003E-5</v>
          </cell>
          <cell r="J936">
            <v>1.3999999999999999E-4</v>
          </cell>
          <cell r="K936">
            <v>0</v>
          </cell>
          <cell r="L936">
            <v>4.0299999999999997E-3</v>
          </cell>
          <cell r="M936">
            <v>2.7599999999999999E-3</v>
          </cell>
          <cell r="N936">
            <v>1E-4</v>
          </cell>
          <cell r="O936">
            <v>1.2199999999999999E-3</v>
          </cell>
          <cell r="P936">
            <v>4.0000000000000003E-5</v>
          </cell>
          <cell r="Q936">
            <v>0</v>
          </cell>
          <cell r="R936">
            <v>1</v>
          </cell>
          <cell r="S936">
            <v>0</v>
          </cell>
        </row>
        <row r="939">
          <cell r="E939" t="str">
            <v>P489</v>
          </cell>
          <cell r="F939">
            <v>1</v>
          </cell>
          <cell r="G939">
            <v>0.41778999999999999</v>
          </cell>
          <cell r="H939">
            <v>0.29422999999999999</v>
          </cell>
          <cell r="I939">
            <v>1.3600000000000001E-3</v>
          </cell>
          <cell r="J939">
            <v>4.79E-3</v>
          </cell>
          <cell r="K939">
            <v>6.9999999999999994E-5</v>
          </cell>
          <cell r="L939">
            <v>0.13929</v>
          </cell>
          <cell r="M939">
            <v>9.5439999999999997E-2</v>
          </cell>
          <cell r="N939">
            <v>3.48E-3</v>
          </cell>
          <cell r="O939">
            <v>4.2079999999999999E-2</v>
          </cell>
          <cell r="P939">
            <v>1.4300000000000001E-3</v>
          </cell>
          <cell r="Q939">
            <v>4.0000000000000003E-5</v>
          </cell>
          <cell r="R939">
            <v>1</v>
          </cell>
          <cell r="S939">
            <v>0</v>
          </cell>
        </row>
        <row r="940">
          <cell r="E940" t="str">
            <v>T489</v>
          </cell>
          <cell r="F940">
            <v>1</v>
          </cell>
          <cell r="G940">
            <v>0</v>
          </cell>
          <cell r="H940">
            <v>0</v>
          </cell>
          <cell r="I940">
            <v>0</v>
          </cell>
          <cell r="J940">
            <v>0</v>
          </cell>
          <cell r="K940">
            <v>0</v>
          </cell>
          <cell r="L940">
            <v>0</v>
          </cell>
          <cell r="M940">
            <v>0</v>
          </cell>
          <cell r="N940">
            <v>0</v>
          </cell>
          <cell r="O940">
            <v>0</v>
          </cell>
          <cell r="P940">
            <v>0</v>
          </cell>
          <cell r="Q940">
            <v>0</v>
          </cell>
          <cell r="R940">
            <v>0</v>
          </cell>
          <cell r="S940">
            <v>1</v>
          </cell>
        </row>
        <row r="941">
          <cell r="E941" t="str">
            <v>D489</v>
          </cell>
          <cell r="F941">
            <v>1</v>
          </cell>
          <cell r="G941">
            <v>0</v>
          </cell>
          <cell r="H941">
            <v>0</v>
          </cell>
          <cell r="I941">
            <v>0</v>
          </cell>
          <cell r="J941">
            <v>0</v>
          </cell>
          <cell r="K941">
            <v>0</v>
          </cell>
          <cell r="L941">
            <v>0</v>
          </cell>
          <cell r="M941">
            <v>0</v>
          </cell>
          <cell r="N941">
            <v>0</v>
          </cell>
          <cell r="O941">
            <v>0</v>
          </cell>
          <cell r="P941">
            <v>0</v>
          </cell>
          <cell r="Q941">
            <v>0</v>
          </cell>
          <cell r="R941">
            <v>0</v>
          </cell>
          <cell r="S941">
            <v>1</v>
          </cell>
        </row>
        <row r="942">
          <cell r="E942" t="str">
            <v>G489</v>
          </cell>
          <cell r="F942">
            <v>1</v>
          </cell>
          <cell r="G942">
            <v>0.48531999999999997</v>
          </cell>
          <cell r="H942">
            <v>0.2601</v>
          </cell>
          <cell r="I942">
            <v>1.1999999999999999E-3</v>
          </cell>
          <cell r="J942">
            <v>4.2300000000000003E-3</v>
          </cell>
          <cell r="K942">
            <v>6.0000000000000002E-5</v>
          </cell>
          <cell r="L942">
            <v>0.12314</v>
          </cell>
          <cell r="M942">
            <v>8.4370000000000001E-2</v>
          </cell>
          <cell r="N942">
            <v>3.0799999999999998E-3</v>
          </cell>
          <cell r="O942">
            <v>3.7199999999999997E-2</v>
          </cell>
          <cell r="P942">
            <v>1.2600000000000001E-3</v>
          </cell>
          <cell r="Q942">
            <v>4.0000000000000003E-5</v>
          </cell>
          <cell r="R942">
            <v>0.99999999999999989</v>
          </cell>
          <cell r="S942">
            <v>0</v>
          </cell>
        </row>
        <row r="943">
          <cell r="E943" t="str">
            <v>C489</v>
          </cell>
          <cell r="F943">
            <v>1</v>
          </cell>
          <cell r="G943">
            <v>0.53973000000000004</v>
          </cell>
          <cell r="H943">
            <v>0.23258999999999999</v>
          </cell>
          <cell r="I943">
            <v>1.08E-3</v>
          </cell>
          <cell r="J943">
            <v>3.79E-3</v>
          </cell>
          <cell r="K943">
            <v>5.0000000000000002E-5</v>
          </cell>
          <cell r="L943">
            <v>0.11011</v>
          </cell>
          <cell r="M943">
            <v>7.5450000000000003E-2</v>
          </cell>
          <cell r="N943">
            <v>2.7499999999999998E-3</v>
          </cell>
          <cell r="O943">
            <v>3.3270000000000001E-2</v>
          </cell>
          <cell r="P943">
            <v>1.1299999999999999E-3</v>
          </cell>
          <cell r="Q943">
            <v>3.0000000000000001E-5</v>
          </cell>
          <cell r="R943">
            <v>0.99997999999999998</v>
          </cell>
          <cell r="S943">
            <v>2.0000000000020002E-5</v>
          </cell>
        </row>
        <row r="944">
          <cell r="E944" t="str">
            <v>DE49</v>
          </cell>
          <cell r="F944">
            <v>1</v>
          </cell>
          <cell r="G944">
            <v>0.42087000000000002</v>
          </cell>
          <cell r="H944">
            <v>0.29266999999999999</v>
          </cell>
          <cell r="I944">
            <v>1.3500000000000001E-3</v>
          </cell>
          <cell r="J944">
            <v>4.7600000000000003E-3</v>
          </cell>
          <cell r="K944">
            <v>6.9999999999999994E-5</v>
          </cell>
          <cell r="L944">
            <v>0.13855000000000001</v>
          </cell>
          <cell r="M944">
            <v>9.4939999999999997E-2</v>
          </cell>
          <cell r="N944">
            <v>3.46E-3</v>
          </cell>
          <cell r="O944">
            <v>4.1860000000000001E-2</v>
          </cell>
          <cell r="P944">
            <v>1.42E-3</v>
          </cell>
          <cell r="Q944">
            <v>4.0000000000000003E-5</v>
          </cell>
          <cell r="R944">
            <v>0.99999000000000016</v>
          </cell>
          <cell r="S944">
            <v>9.9999999998434674E-6</v>
          </cell>
        </row>
        <row r="947">
          <cell r="E947" t="str">
            <v>L529</v>
          </cell>
          <cell r="F947">
            <v>1</v>
          </cell>
          <cell r="G947">
            <v>0.41877999999999999</v>
          </cell>
          <cell r="H947">
            <v>0.29372999999999999</v>
          </cell>
          <cell r="I947">
            <v>1.3600000000000001E-3</v>
          </cell>
          <cell r="J947">
            <v>4.7800000000000004E-3</v>
          </cell>
          <cell r="K947">
            <v>6.9999999999999994E-5</v>
          </cell>
          <cell r="L947">
            <v>0.13905000000000001</v>
          </cell>
          <cell r="M947">
            <v>9.5280000000000004E-2</v>
          </cell>
          <cell r="N947">
            <v>3.47E-3</v>
          </cell>
          <cell r="O947">
            <v>4.2009999999999999E-2</v>
          </cell>
          <cell r="P947">
            <v>1.4300000000000001E-3</v>
          </cell>
          <cell r="Q947">
            <v>4.0000000000000003E-5</v>
          </cell>
          <cell r="R947">
            <v>1</v>
          </cell>
          <cell r="S947">
            <v>0</v>
          </cell>
        </row>
        <row r="948">
          <cell r="E948" t="str">
            <v>L589</v>
          </cell>
          <cell r="F948">
            <v>1</v>
          </cell>
          <cell r="G948">
            <v>0.98316000000000003</v>
          </cell>
          <cell r="H948">
            <v>8.5100000000000002E-3</v>
          </cell>
          <cell r="I948">
            <v>4.0000000000000003E-5</v>
          </cell>
          <cell r="J948">
            <v>1.3999999999999999E-4</v>
          </cell>
          <cell r="K948">
            <v>0</v>
          </cell>
          <cell r="L948">
            <v>4.0299999999999997E-3</v>
          </cell>
          <cell r="M948">
            <v>2.7599999999999999E-3</v>
          </cell>
          <cell r="N948">
            <v>1E-4</v>
          </cell>
          <cell r="O948">
            <v>1.2199999999999999E-3</v>
          </cell>
          <cell r="P948">
            <v>4.0000000000000003E-5</v>
          </cell>
          <cell r="Q948">
            <v>0</v>
          </cell>
          <cell r="R948">
            <v>1</v>
          </cell>
          <cell r="S948">
            <v>0</v>
          </cell>
        </row>
        <row r="949">
          <cell r="E949" t="str">
            <v>L599</v>
          </cell>
          <cell r="F949">
            <v>1</v>
          </cell>
          <cell r="G949">
            <v>0.47134999999999999</v>
          </cell>
          <cell r="H949">
            <v>0.26712000000000002</v>
          </cell>
          <cell r="I949">
            <v>1.24E-3</v>
          </cell>
          <cell r="J949">
            <v>4.3299999999999996E-3</v>
          </cell>
          <cell r="K949">
            <v>6.0000000000000002E-5</v>
          </cell>
          <cell r="L949">
            <v>0.1265</v>
          </cell>
          <cell r="M949">
            <v>8.6669999999999997E-2</v>
          </cell>
          <cell r="N949">
            <v>3.15E-3</v>
          </cell>
          <cell r="O949">
            <v>3.8210000000000001E-2</v>
          </cell>
          <cell r="P949">
            <v>1.32E-3</v>
          </cell>
          <cell r="Q949">
            <v>4.0000000000000003E-5</v>
          </cell>
          <cell r="R949">
            <v>0.99998999999999982</v>
          </cell>
          <cell r="S949">
            <v>1.0000000000176534E-5</v>
          </cell>
        </row>
        <row r="950">
          <cell r="E950" t="str">
            <v>OP69</v>
          </cell>
          <cell r="F950">
            <v>1</v>
          </cell>
          <cell r="G950">
            <v>0.51990000000000003</v>
          </cell>
          <cell r="H950">
            <v>0.24262</v>
          </cell>
          <cell r="I950">
            <v>1.1199999999999999E-3</v>
          </cell>
          <cell r="J950">
            <v>3.9500000000000004E-3</v>
          </cell>
          <cell r="K950">
            <v>6.0000000000000002E-5</v>
          </cell>
          <cell r="L950">
            <v>0.11487</v>
          </cell>
          <cell r="M950">
            <v>7.8700000000000006E-2</v>
          </cell>
          <cell r="N950">
            <v>2.8700000000000002E-3</v>
          </cell>
          <cell r="O950">
            <v>3.4700000000000002E-2</v>
          </cell>
          <cell r="P950">
            <v>1.1800000000000001E-3</v>
          </cell>
          <cell r="Q950">
            <v>3.0000000000000001E-5</v>
          </cell>
          <cell r="R950">
            <v>1</v>
          </cell>
          <cell r="S950">
            <v>0</v>
          </cell>
        </row>
        <row r="953">
          <cell r="E953" t="str">
            <v>CS09</v>
          </cell>
          <cell r="F953">
            <v>1</v>
          </cell>
          <cell r="G953">
            <v>0.487229731</v>
          </cell>
          <cell r="H953">
            <v>0.25913357300000001</v>
          </cell>
          <cell r="I953">
            <v>1.1969940000000001E-3</v>
          </cell>
          <cell r="J953">
            <v>4.2196550000000001E-3</v>
          </cell>
          <cell r="K953">
            <v>6.1168999999999997E-5</v>
          </cell>
          <cell r="L953">
            <v>0.12267742700000001</v>
          </cell>
          <cell r="M953">
            <v>8.4057797000000004E-2</v>
          </cell>
          <cell r="N953">
            <v>3.0674140000000001E-3</v>
          </cell>
          <cell r="O953">
            <v>3.7061888000000001E-2</v>
          </cell>
          <cell r="P953">
            <v>1.2593400000000001E-3</v>
          </cell>
          <cell r="Q953">
            <v>3.5012000000000003E-5</v>
          </cell>
          <cell r="R953">
            <v>0.99999999999999989</v>
          </cell>
          <cell r="S953">
            <v>0</v>
          </cell>
        </row>
      </sheetData>
      <sheetData sheetId="6">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row>
        <row r="825">
          <cell r="E825" t="str">
            <v>K209</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11</v>
          </cell>
          <cell r="P840">
            <v>394</v>
          </cell>
          <cell r="Q840">
            <v>11</v>
          </cell>
          <cell r="R840">
            <v>140010</v>
          </cell>
          <cell r="S840">
            <v>4</v>
          </cell>
        </row>
        <row r="841">
          <cell r="E841" t="str">
            <v>K405</v>
          </cell>
          <cell r="F841">
            <v>1</v>
          </cell>
          <cell r="G841">
            <v>0.90183000000000002</v>
          </cell>
          <cell r="H841">
            <v>9.1660000000000005E-2</v>
          </cell>
          <cell r="I841">
            <v>1.2199999999999999E-3</v>
          </cell>
          <cell r="J841">
            <v>7.3999999999999999E-4</v>
          </cell>
          <cell r="K841">
            <v>1.1E-4</v>
          </cell>
          <cell r="L841">
            <v>1.1000000000000001E-3</v>
          </cell>
          <cell r="M841">
            <v>2.5999999999999998E-4</v>
          </cell>
          <cell r="N841">
            <v>6.9999999999999994E-5</v>
          </cell>
          <cell r="O841">
            <v>8.0000000000000007E-5</v>
          </cell>
          <cell r="P841">
            <v>2.81E-3</v>
          </cell>
          <cell r="Q841">
            <v>8.0000000000000007E-5</v>
          </cell>
          <cell r="R841">
            <v>0.99995999999999996</v>
          </cell>
          <cell r="S841">
            <v>4.0000000000040004E-5</v>
          </cell>
        </row>
        <row r="842">
          <cell r="F842">
            <v>6350638</v>
          </cell>
          <cell r="G842">
            <v>3299927</v>
          </cell>
          <cell r="H842">
            <v>2696699</v>
          </cell>
          <cell r="I842">
            <v>0</v>
          </cell>
          <cell r="J842">
            <v>22657</v>
          </cell>
          <cell r="K842">
            <v>2715</v>
          </cell>
          <cell r="L842">
            <v>125418</v>
          </cell>
          <cell r="M842">
            <v>0</v>
          </cell>
          <cell r="N842">
            <v>10654</v>
          </cell>
          <cell r="O842">
            <v>16048</v>
          </cell>
          <cell r="P842">
            <v>0</v>
          </cell>
          <cell r="Q842">
            <v>176520</v>
          </cell>
          <cell r="R842">
            <v>6350638</v>
          </cell>
          <cell r="S842">
            <v>0</v>
          </cell>
        </row>
        <row r="843">
          <cell r="E843" t="str">
            <v>K407</v>
          </cell>
          <cell r="F843">
            <v>1</v>
          </cell>
          <cell r="G843">
            <v>0.51961000000000002</v>
          </cell>
          <cell r="H843">
            <v>0.42463000000000001</v>
          </cell>
          <cell r="I843">
            <v>0</v>
          </cell>
          <cell r="J843">
            <v>3.5699999999999998E-3</v>
          </cell>
          <cell r="K843">
            <v>4.2999999999999999E-4</v>
          </cell>
          <cell r="L843">
            <v>1.975E-2</v>
          </cell>
          <cell r="M843">
            <v>0</v>
          </cell>
          <cell r="N843">
            <v>1.6800000000000001E-3</v>
          </cell>
          <cell r="O843">
            <v>2.5300000000000001E-3</v>
          </cell>
          <cell r="P843">
            <v>0</v>
          </cell>
          <cell r="Q843">
            <v>2.7799999999999998E-2</v>
          </cell>
          <cell r="R843">
            <v>1</v>
          </cell>
          <cell r="S843">
            <v>0</v>
          </cell>
        </row>
        <row r="844">
          <cell r="F844">
            <v>243058</v>
          </cell>
          <cell r="G844">
            <v>126269</v>
          </cell>
          <cell r="H844">
            <v>102622</v>
          </cell>
          <cell r="I844">
            <v>171</v>
          </cell>
          <cell r="J844">
            <v>832</v>
          </cell>
          <cell r="K844">
            <v>112</v>
          </cell>
          <cell r="L844">
            <v>4804</v>
          </cell>
          <cell r="M844">
            <v>37</v>
          </cell>
          <cell r="N844">
            <v>410</v>
          </cell>
          <cell r="O844">
            <v>620</v>
          </cell>
          <cell r="P844">
            <v>394</v>
          </cell>
          <cell r="Q844">
            <v>6787</v>
          </cell>
          <cell r="R844">
            <v>243058</v>
          </cell>
          <cell r="S844">
            <v>0</v>
          </cell>
        </row>
        <row r="845">
          <cell r="E845" t="str">
            <v>K409</v>
          </cell>
          <cell r="F845">
            <v>1</v>
          </cell>
          <cell r="G845">
            <v>0.51951999999999998</v>
          </cell>
          <cell r="H845">
            <v>0.42220999999999997</v>
          </cell>
          <cell r="I845">
            <v>6.9999999999999999E-4</v>
          </cell>
          <cell r="J845">
            <v>3.4199999999999999E-3</v>
          </cell>
          <cell r="K845">
            <v>4.6000000000000001E-4</v>
          </cell>
          <cell r="L845">
            <v>1.976E-2</v>
          </cell>
          <cell r="M845">
            <v>1.4999999999999999E-4</v>
          </cell>
          <cell r="N845">
            <v>1.6900000000000001E-3</v>
          </cell>
          <cell r="O845">
            <v>2.5500000000000002E-3</v>
          </cell>
          <cell r="P845">
            <v>1.6199999999999999E-3</v>
          </cell>
          <cell r="Q845">
            <v>2.792E-2</v>
          </cell>
          <cell r="R845">
            <v>1</v>
          </cell>
          <cell r="S845">
            <v>0</v>
          </cell>
        </row>
        <row r="846">
          <cell r="F846">
            <v>1498164.3299999998</v>
          </cell>
          <cell r="G846">
            <v>1370864</v>
          </cell>
          <cell r="H846">
            <v>62282.329999999842</v>
          </cell>
          <cell r="I846">
            <v>409</v>
          </cell>
          <cell r="J846">
            <v>432</v>
          </cell>
          <cell r="K846">
            <v>20</v>
          </cell>
          <cell r="L846">
            <v>31779</v>
          </cell>
          <cell r="M846">
            <v>21269</v>
          </cell>
          <cell r="N846">
            <v>642</v>
          </cell>
          <cell r="O846">
            <v>9153</v>
          </cell>
          <cell r="P846">
            <v>1309</v>
          </cell>
          <cell r="Q846">
            <v>5</v>
          </cell>
          <cell r="R846">
            <v>1498164.3299999998</v>
          </cell>
          <cell r="S846">
            <v>0</v>
          </cell>
        </row>
        <row r="847">
          <cell r="E847" t="str">
            <v>K411</v>
          </cell>
          <cell r="F847">
            <v>1</v>
          </cell>
          <cell r="G847">
            <v>0.91503999999999996</v>
          </cell>
          <cell r="H847">
            <v>4.1570000000000003E-2</v>
          </cell>
          <cell r="I847">
            <v>2.7E-4</v>
          </cell>
          <cell r="J847">
            <v>2.9E-4</v>
          </cell>
          <cell r="K847">
            <v>1.0000000000000001E-5</v>
          </cell>
          <cell r="L847">
            <v>2.121E-2</v>
          </cell>
          <cell r="M847">
            <v>1.4200000000000001E-2</v>
          </cell>
          <cell r="N847">
            <v>4.2999999999999999E-4</v>
          </cell>
          <cell r="O847">
            <v>6.11E-3</v>
          </cell>
          <cell r="P847">
            <v>8.7000000000000001E-4</v>
          </cell>
          <cell r="Q847">
            <v>0</v>
          </cell>
          <cell r="R847">
            <v>0.99999999999999989</v>
          </cell>
          <cell r="S847">
            <v>0</v>
          </cell>
        </row>
        <row r="848">
          <cell r="F848">
            <v>4178319049</v>
          </cell>
          <cell r="G848">
            <v>1508499412</v>
          </cell>
          <cell r="H848">
            <v>1170020285</v>
          </cell>
          <cell r="I848">
            <v>6457090</v>
          </cell>
          <cell r="J848">
            <v>19810437</v>
          </cell>
          <cell r="K848">
            <v>277908</v>
          </cell>
          <cell r="L848">
            <v>703656372</v>
          </cell>
          <cell r="M848">
            <v>514497482</v>
          </cell>
          <cell r="N848">
            <v>16235892</v>
          </cell>
          <cell r="O848">
            <v>218940404</v>
          </cell>
          <cell r="P848">
            <v>19741342</v>
          </cell>
          <cell r="Q848">
            <v>182425</v>
          </cell>
          <cell r="R848">
            <v>4178319049</v>
          </cell>
          <cell r="S848">
            <v>0</v>
          </cell>
        </row>
        <row r="849">
          <cell r="E849" t="str">
            <v>K302</v>
          </cell>
          <cell r="F849">
            <v>1</v>
          </cell>
          <cell r="G849">
            <v>0.36102000000000001</v>
          </cell>
          <cell r="H849">
            <v>0.28001999999999999</v>
          </cell>
          <cell r="I849">
            <v>1.5499999999999999E-3</v>
          </cell>
          <cell r="J849">
            <v>4.7400000000000003E-3</v>
          </cell>
          <cell r="K849">
            <v>6.9999999999999994E-5</v>
          </cell>
          <cell r="L849">
            <v>0.16841</v>
          </cell>
          <cell r="M849">
            <v>0.12314</v>
          </cell>
          <cell r="N849">
            <v>3.8899999999999998E-3</v>
          </cell>
          <cell r="O849">
            <v>5.2400000000000002E-2</v>
          </cell>
          <cell r="P849">
            <v>4.7200000000000002E-3</v>
          </cell>
          <cell r="Q849">
            <v>4.0000000000000003E-5</v>
          </cell>
          <cell r="R849">
            <v>1</v>
          </cell>
          <cell r="S849">
            <v>0</v>
          </cell>
        </row>
        <row r="851">
          <cell r="E851" t="str">
            <v>R600</v>
          </cell>
          <cell r="F851">
            <v>158971055</v>
          </cell>
          <cell r="G851">
            <v>57314362</v>
          </cell>
          <cell r="H851">
            <v>44456907</v>
          </cell>
          <cell r="I851">
            <v>245957</v>
          </cell>
          <cell r="J851">
            <v>752382</v>
          </cell>
          <cell r="K851">
            <v>11126</v>
          </cell>
          <cell r="L851">
            <v>26788890</v>
          </cell>
          <cell r="M851">
            <v>19548200</v>
          </cell>
          <cell r="N851">
            <v>617291</v>
          </cell>
          <cell r="O851">
            <v>8480306</v>
          </cell>
          <cell r="P851">
            <v>749276</v>
          </cell>
          <cell r="Q851">
            <v>6358</v>
          </cell>
          <cell r="R851">
            <v>158971055</v>
          </cell>
          <cell r="S851">
            <v>0</v>
          </cell>
        </row>
        <row r="852">
          <cell r="E852" t="str">
            <v>R602</v>
          </cell>
          <cell r="F852">
            <v>82146477</v>
          </cell>
          <cell r="G852">
            <v>29617912</v>
          </cell>
          <cell r="H852">
            <v>22973905</v>
          </cell>
          <cell r="I852">
            <v>127327</v>
          </cell>
          <cell r="J852">
            <v>388553</v>
          </cell>
          <cell r="K852">
            <v>5750</v>
          </cell>
          <cell r="L852">
            <v>13842503</v>
          </cell>
          <cell r="M852">
            <v>10102374</v>
          </cell>
          <cell r="N852">
            <v>318728</v>
          </cell>
          <cell r="O852">
            <v>4379229</v>
          </cell>
          <cell r="P852">
            <v>386910</v>
          </cell>
          <cell r="Q852">
            <v>3286</v>
          </cell>
          <cell r="R852">
            <v>82146477</v>
          </cell>
          <cell r="S852">
            <v>0</v>
          </cell>
        </row>
        <row r="854">
          <cell r="R854" t="str">
            <v>FR-16(7)(v)-4</v>
          </cell>
        </row>
        <row r="855">
          <cell r="R855" t="str">
            <v>WITNESS RESPONSIBLE:</v>
          </cell>
        </row>
        <row r="856">
          <cell r="R856" t="str">
            <v>JAMES E. ZIOLKOWSKI</v>
          </cell>
        </row>
        <row r="857">
          <cell r="R857" t="str">
            <v>PAGE 17 OF 18</v>
          </cell>
        </row>
        <row r="860">
          <cell r="F860" t="str">
            <v>TOTAL</v>
          </cell>
          <cell r="H860" t="str">
            <v>DS</v>
          </cell>
          <cell r="I860" t="str">
            <v>GSFL</v>
          </cell>
          <cell r="J860" t="str">
            <v>EH</v>
          </cell>
          <cell r="K860" t="str">
            <v>SP</v>
          </cell>
          <cell r="L860" t="str">
            <v>DT SEC</v>
          </cell>
          <cell r="M860" t="str">
            <v>DT PRI</v>
          </cell>
          <cell r="N860" t="str">
            <v>DP</v>
          </cell>
          <cell r="O860" t="str">
            <v>TT</v>
          </cell>
          <cell r="Q860" t="str">
            <v>OTHER</v>
          </cell>
        </row>
        <row r="861">
          <cell r="F861" t="str">
            <v>PRODUCTION</v>
          </cell>
          <cell r="G861" t="str">
            <v>RS</v>
          </cell>
          <cell r="H861" t="str">
            <v>SECONDARY</v>
          </cell>
          <cell r="I861" t="str">
            <v>SECONDARY</v>
          </cell>
          <cell r="J861" t="str">
            <v>SECONDARY</v>
          </cell>
          <cell r="K861" t="str">
            <v>SECONDARY</v>
          </cell>
          <cell r="L861" t="str">
            <v>SECONDARY</v>
          </cell>
          <cell r="M861" t="str">
            <v>PRIMARY</v>
          </cell>
          <cell r="N861" t="str">
            <v>PRIMARY</v>
          </cell>
          <cell r="O861" t="str">
            <v>TRANSMISSION</v>
          </cell>
          <cell r="P861" t="str">
            <v>LT</v>
          </cell>
          <cell r="Q861" t="str">
            <v>WATER</v>
          </cell>
          <cell r="R861" t="str">
            <v>TOTAL</v>
          </cell>
          <cell r="S861" t="str">
            <v>ALL</v>
          </cell>
        </row>
        <row r="862">
          <cell r="E862" t="str">
            <v>ALLO</v>
          </cell>
          <cell r="F862" t="str">
            <v>ENERGY</v>
          </cell>
          <cell r="G862" t="str">
            <v>RESIDENTIAL</v>
          </cell>
          <cell r="H862" t="str">
            <v>DISTRIBUTION</v>
          </cell>
          <cell r="I862" t="str">
            <v>DISTRIBUTION</v>
          </cell>
          <cell r="J862" t="str">
            <v>DISTRIBUTION</v>
          </cell>
          <cell r="K862" t="str">
            <v>DISTRIBUTION</v>
          </cell>
          <cell r="L862" t="str">
            <v>DISTRIBUTION</v>
          </cell>
          <cell r="M862" t="str">
            <v>DISTRIBUTION</v>
          </cell>
          <cell r="N862" t="str">
            <v>DISTRIBUTION</v>
          </cell>
          <cell r="O862" t="str">
            <v>TIME OF DAY</v>
          </cell>
          <cell r="P862" t="str">
            <v>LIGHTING</v>
          </cell>
          <cell r="Q862" t="str">
            <v>PUMPING</v>
          </cell>
          <cell r="R862" t="str">
            <v>AT ISSUE</v>
          </cell>
          <cell r="S862" t="str">
            <v>OTHER</v>
          </cell>
        </row>
        <row r="863">
          <cell r="E863">
            <v>1</v>
          </cell>
          <cell r="G863">
            <v>3</v>
          </cell>
          <cell r="H863">
            <v>4</v>
          </cell>
          <cell r="I863">
            <v>5</v>
          </cell>
          <cell r="J863">
            <v>6</v>
          </cell>
          <cell r="K863">
            <v>7</v>
          </cell>
          <cell r="L863">
            <v>8</v>
          </cell>
          <cell r="M863">
            <v>9</v>
          </cell>
          <cell r="N863">
            <v>10</v>
          </cell>
          <cell r="O863">
            <v>11</v>
          </cell>
          <cell r="P863">
            <v>12</v>
          </cell>
          <cell r="Q863">
            <v>13</v>
          </cell>
          <cell r="S863" t="str">
            <v xml:space="preserve"> </v>
          </cell>
        </row>
        <row r="865">
          <cell r="F865">
            <v>304312778</v>
          </cell>
          <cell r="G865">
            <v>120391018</v>
          </cell>
          <cell r="H865">
            <v>89967454</v>
          </cell>
          <cell r="I865">
            <v>589997</v>
          </cell>
          <cell r="J865">
            <v>623628</v>
          </cell>
          <cell r="K865">
            <v>28730</v>
          </cell>
          <cell r="L865">
            <v>45903624</v>
          </cell>
          <cell r="M865">
            <v>30722085</v>
          </cell>
          <cell r="N865">
            <v>926746</v>
          </cell>
          <cell r="O865">
            <v>13220511</v>
          </cell>
          <cell r="P865">
            <v>1889364</v>
          </cell>
          <cell r="Q865">
            <v>7414</v>
          </cell>
          <cell r="R865">
            <v>304270571</v>
          </cell>
          <cell r="S865">
            <v>42207</v>
          </cell>
        </row>
        <row r="866">
          <cell r="E866" t="str">
            <v>K901</v>
          </cell>
          <cell r="F866">
            <v>1</v>
          </cell>
          <cell r="G866">
            <v>0.39562000000000003</v>
          </cell>
          <cell r="H866">
            <v>0.295641394</v>
          </cell>
          <cell r="I866">
            <v>1.9387849999999999E-3</v>
          </cell>
          <cell r="J866">
            <v>2.0492990000000001E-3</v>
          </cell>
          <cell r="K866">
            <v>9.4408999999999997E-5</v>
          </cell>
          <cell r="L866">
            <v>0.15084356400000001</v>
          </cell>
          <cell r="M866">
            <v>0.100955619</v>
          </cell>
          <cell r="N866">
            <v>3.0453730000000001E-3</v>
          </cell>
          <cell r="O866">
            <v>4.3443824999999998E-2</v>
          </cell>
          <cell r="P866">
            <v>6.2086249999999997E-3</v>
          </cell>
          <cell r="Q866">
            <v>2.4363E-5</v>
          </cell>
          <cell r="R866">
            <v>0.99986525599999998</v>
          </cell>
          <cell r="S866">
            <v>1.3474400000001996E-4</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K902</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72">
          <cell r="E872" t="str">
            <v>P129</v>
          </cell>
          <cell r="F872">
            <v>1</v>
          </cell>
          <cell r="G872">
            <v>1</v>
          </cell>
          <cell r="H872">
            <v>0</v>
          </cell>
          <cell r="I872">
            <v>0</v>
          </cell>
          <cell r="J872">
            <v>0</v>
          </cell>
          <cell r="K872">
            <v>0</v>
          </cell>
          <cell r="L872">
            <v>0</v>
          </cell>
          <cell r="M872">
            <v>0</v>
          </cell>
          <cell r="N872">
            <v>0</v>
          </cell>
          <cell r="O872">
            <v>0</v>
          </cell>
          <cell r="P872">
            <v>0</v>
          </cell>
          <cell r="Q872">
            <v>0</v>
          </cell>
          <cell r="R872">
            <v>1</v>
          </cell>
          <cell r="S872">
            <v>0</v>
          </cell>
        </row>
        <row r="873">
          <cell r="E873" t="str">
            <v>T129</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row>
        <row r="874">
          <cell r="E874" t="str">
            <v>PT29</v>
          </cell>
          <cell r="F874">
            <v>1</v>
          </cell>
          <cell r="G874">
            <v>1</v>
          </cell>
          <cell r="H874">
            <v>0</v>
          </cell>
          <cell r="I874">
            <v>0</v>
          </cell>
          <cell r="J874">
            <v>0</v>
          </cell>
          <cell r="K874">
            <v>0</v>
          </cell>
          <cell r="L874">
            <v>0</v>
          </cell>
          <cell r="M874">
            <v>0</v>
          </cell>
          <cell r="N874">
            <v>0</v>
          </cell>
          <cell r="O874">
            <v>0</v>
          </cell>
          <cell r="P874">
            <v>0</v>
          </cell>
          <cell r="Q874">
            <v>0</v>
          </cell>
          <cell r="R874">
            <v>1</v>
          </cell>
          <cell r="S874">
            <v>0</v>
          </cell>
        </row>
        <row r="875">
          <cell r="E875" t="str">
            <v>D149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TD29</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row>
        <row r="877">
          <cell r="E877" t="str">
            <v>PD29</v>
          </cell>
          <cell r="F877">
            <v>1</v>
          </cell>
          <cell r="G877">
            <v>0.35949999999999993</v>
          </cell>
          <cell r="H877">
            <v>0.27888000000000002</v>
          </cell>
          <cell r="I877">
            <v>1.5399999999999999E-3</v>
          </cell>
          <cell r="J877">
            <v>4.7200000000000002E-3</v>
          </cell>
          <cell r="K877">
            <v>6.9999999999999994E-5</v>
          </cell>
          <cell r="L877">
            <v>0.16874</v>
          </cell>
          <cell r="M877">
            <v>0.12261</v>
          </cell>
          <cell r="N877">
            <v>3.8700000000000002E-3</v>
          </cell>
          <cell r="O877">
            <v>5.5329999999999997E-2</v>
          </cell>
          <cell r="P877">
            <v>4.7000000000000002E-3</v>
          </cell>
          <cell r="Q877">
            <v>4.0000000000000003E-5</v>
          </cell>
          <cell r="R877">
            <v>1</v>
          </cell>
          <cell r="S877">
            <v>0</v>
          </cell>
        </row>
        <row r="878">
          <cell r="E878" t="str">
            <v>G129</v>
          </cell>
          <cell r="F878">
            <v>1</v>
          </cell>
          <cell r="G878">
            <v>0.35949999999999993</v>
          </cell>
          <cell r="H878">
            <v>0.27888000000000002</v>
          </cell>
          <cell r="I878">
            <v>1.5399999999999999E-3</v>
          </cell>
          <cell r="J878">
            <v>4.7200000000000002E-3</v>
          </cell>
          <cell r="K878">
            <v>6.9999999999999994E-5</v>
          </cell>
          <cell r="L878">
            <v>0.16874</v>
          </cell>
          <cell r="M878">
            <v>0.12261</v>
          </cell>
          <cell r="N878">
            <v>3.8700000000000002E-3</v>
          </cell>
          <cell r="O878">
            <v>5.5329999999999997E-2</v>
          </cell>
          <cell r="P878">
            <v>4.7000000000000002E-3</v>
          </cell>
          <cell r="Q878">
            <v>4.0000000000000003E-5</v>
          </cell>
          <cell r="R878">
            <v>1</v>
          </cell>
          <cell r="S878">
            <v>0</v>
          </cell>
        </row>
        <row r="879">
          <cell r="E879" t="str">
            <v>C129</v>
          </cell>
          <cell r="F879">
            <v>1</v>
          </cell>
          <cell r="G879">
            <v>0.35949999999999993</v>
          </cell>
          <cell r="H879">
            <v>0.27888000000000002</v>
          </cell>
          <cell r="I879">
            <v>1.5399999999999999E-3</v>
          </cell>
          <cell r="J879">
            <v>4.7200000000000002E-3</v>
          </cell>
          <cell r="K879">
            <v>6.9999999999999994E-5</v>
          </cell>
          <cell r="L879">
            <v>0.16874</v>
          </cell>
          <cell r="M879">
            <v>0.12261</v>
          </cell>
          <cell r="N879">
            <v>3.8700000000000002E-3</v>
          </cell>
          <cell r="O879">
            <v>5.5329999999999997E-2</v>
          </cell>
          <cell r="P879">
            <v>4.7000000000000002E-3</v>
          </cell>
          <cell r="Q879">
            <v>4.0000000000000003E-5</v>
          </cell>
          <cell r="R879">
            <v>1</v>
          </cell>
          <cell r="S879">
            <v>0</v>
          </cell>
        </row>
        <row r="880">
          <cell r="E880" t="str">
            <v>GP19</v>
          </cell>
          <cell r="F880">
            <v>1</v>
          </cell>
          <cell r="G880">
            <v>1</v>
          </cell>
          <cell r="H880">
            <v>0</v>
          </cell>
          <cell r="I880">
            <v>0</v>
          </cell>
          <cell r="J880">
            <v>0</v>
          </cell>
          <cell r="K880">
            <v>0</v>
          </cell>
          <cell r="L880">
            <v>0</v>
          </cell>
          <cell r="M880">
            <v>0</v>
          </cell>
          <cell r="N880">
            <v>0</v>
          </cell>
          <cell r="O880">
            <v>0</v>
          </cell>
          <cell r="P880">
            <v>0</v>
          </cell>
          <cell r="Q880">
            <v>0</v>
          </cell>
          <cell r="R880">
            <v>1</v>
          </cell>
          <cell r="S880">
            <v>0</v>
          </cell>
        </row>
        <row r="881">
          <cell r="E881" t="str">
            <v>DR19</v>
          </cell>
          <cell r="F881">
            <v>1</v>
          </cell>
          <cell r="G881">
            <v>0.35942999999999992</v>
          </cell>
          <cell r="H881">
            <v>0.27883000000000002</v>
          </cell>
          <cell r="I881">
            <v>1.5399999999999999E-3</v>
          </cell>
          <cell r="J881">
            <v>4.7200000000000002E-3</v>
          </cell>
          <cell r="K881">
            <v>6.9999999999999994E-5</v>
          </cell>
          <cell r="L881">
            <v>0.16875000000000001</v>
          </cell>
          <cell r="M881">
            <v>0.12259</v>
          </cell>
          <cell r="N881">
            <v>3.8700000000000002E-3</v>
          </cell>
          <cell r="O881">
            <v>5.5460000000000002E-2</v>
          </cell>
          <cell r="P881">
            <v>4.7000000000000002E-3</v>
          </cell>
          <cell r="Q881">
            <v>4.0000000000000003E-5</v>
          </cell>
          <cell r="R881">
            <v>1</v>
          </cell>
          <cell r="S881">
            <v>0</v>
          </cell>
        </row>
        <row r="884">
          <cell r="E884" t="str">
            <v>P229</v>
          </cell>
          <cell r="F884">
            <v>1</v>
          </cell>
          <cell r="G884">
            <v>1</v>
          </cell>
          <cell r="H884">
            <v>0</v>
          </cell>
          <cell r="I884">
            <v>0</v>
          </cell>
          <cell r="J884">
            <v>0</v>
          </cell>
          <cell r="K884">
            <v>0</v>
          </cell>
          <cell r="L884">
            <v>0</v>
          </cell>
          <cell r="M884">
            <v>0</v>
          </cell>
          <cell r="N884">
            <v>0</v>
          </cell>
          <cell r="O884">
            <v>0</v>
          </cell>
          <cell r="P884">
            <v>0</v>
          </cell>
          <cell r="Q884">
            <v>0</v>
          </cell>
          <cell r="R884">
            <v>1</v>
          </cell>
          <cell r="S884">
            <v>0</v>
          </cell>
        </row>
        <row r="885">
          <cell r="E885" t="str">
            <v>T229</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row>
        <row r="886">
          <cell r="E886" t="str">
            <v>PL49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D249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NT29</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row>
        <row r="889">
          <cell r="E889" t="str">
            <v>G229</v>
          </cell>
          <cell r="F889">
            <v>1</v>
          </cell>
          <cell r="G889">
            <v>0.35968999999999995</v>
          </cell>
          <cell r="H889">
            <v>0.27901999999999999</v>
          </cell>
          <cell r="I889">
            <v>1.5399999999999999E-3</v>
          </cell>
          <cell r="J889">
            <v>4.7200000000000002E-3</v>
          </cell>
          <cell r="K889">
            <v>6.9999999999999994E-5</v>
          </cell>
          <cell r="L889">
            <v>0.16869999999999999</v>
          </cell>
          <cell r="M889">
            <v>0.12267</v>
          </cell>
          <cell r="N889">
            <v>3.8700000000000002E-3</v>
          </cell>
          <cell r="O889">
            <v>5.4980000000000001E-2</v>
          </cell>
          <cell r="P889">
            <v>4.7000000000000002E-3</v>
          </cell>
          <cell r="Q889">
            <v>4.0000000000000003E-5</v>
          </cell>
          <cell r="R889">
            <v>0.99999999999999989</v>
          </cell>
          <cell r="S889">
            <v>0</v>
          </cell>
        </row>
        <row r="890">
          <cell r="E890" t="str">
            <v>C229</v>
          </cell>
          <cell r="F890">
            <v>1</v>
          </cell>
          <cell r="G890">
            <v>0.35980999999999996</v>
          </cell>
          <cell r="H890">
            <v>0.27911000000000002</v>
          </cell>
          <cell r="I890">
            <v>1.5399999999999999E-3</v>
          </cell>
          <cell r="J890">
            <v>4.7200000000000002E-3</v>
          </cell>
          <cell r="K890">
            <v>6.9999999999999994E-5</v>
          </cell>
          <cell r="L890">
            <v>0.16866999999999999</v>
          </cell>
          <cell r="M890">
            <v>0.12272</v>
          </cell>
          <cell r="N890">
            <v>3.8700000000000002E-3</v>
          </cell>
          <cell r="O890">
            <v>5.4739999999999997E-2</v>
          </cell>
          <cell r="P890">
            <v>4.7099999999999998E-3</v>
          </cell>
          <cell r="Q890">
            <v>4.0000000000000003E-5</v>
          </cell>
          <cell r="R890">
            <v>1</v>
          </cell>
          <cell r="S890">
            <v>0</v>
          </cell>
        </row>
        <row r="891">
          <cell r="E891" t="str">
            <v>NP29</v>
          </cell>
          <cell r="F891">
            <v>1</v>
          </cell>
          <cell r="G891">
            <v>0.35968999999999995</v>
          </cell>
          <cell r="H891">
            <v>0.27901999999999999</v>
          </cell>
          <cell r="I891">
            <v>1.5399999999999999E-3</v>
          </cell>
          <cell r="J891">
            <v>4.7200000000000002E-3</v>
          </cell>
          <cell r="K891">
            <v>6.9999999999999994E-5</v>
          </cell>
          <cell r="L891">
            <v>0.16869999999999999</v>
          </cell>
          <cell r="M891">
            <v>0.12268</v>
          </cell>
          <cell r="N891">
            <v>3.8700000000000002E-3</v>
          </cell>
          <cell r="O891">
            <v>5.4969999999999998E-2</v>
          </cell>
          <cell r="P891">
            <v>4.7000000000000002E-3</v>
          </cell>
          <cell r="Q891">
            <v>4.0000000000000003E-5</v>
          </cell>
          <cell r="R891">
            <v>0.99999999999999989</v>
          </cell>
          <cell r="S891">
            <v>0</v>
          </cell>
        </row>
        <row r="894">
          <cell r="E894" t="str">
            <v>W669</v>
          </cell>
          <cell r="F894">
            <v>1</v>
          </cell>
          <cell r="G894">
            <v>0.35949999999999993</v>
          </cell>
          <cell r="H894">
            <v>0.27888000000000002</v>
          </cell>
          <cell r="I894">
            <v>1.5399999999999999E-3</v>
          </cell>
          <cell r="J894">
            <v>4.7200000000000002E-3</v>
          </cell>
          <cell r="K894">
            <v>6.9999999999999994E-5</v>
          </cell>
          <cell r="L894">
            <v>0.16874</v>
          </cell>
          <cell r="M894">
            <v>0.12261</v>
          </cell>
          <cell r="N894">
            <v>3.8700000000000002E-3</v>
          </cell>
          <cell r="O894">
            <v>5.5329999999999997E-2</v>
          </cell>
          <cell r="P894">
            <v>4.7000000000000002E-3</v>
          </cell>
          <cell r="Q894">
            <v>4.0000000000000003E-5</v>
          </cell>
          <cell r="R894">
            <v>1</v>
          </cell>
          <cell r="S894">
            <v>0</v>
          </cell>
        </row>
        <row r="895">
          <cell r="E895" t="str">
            <v>W689</v>
          </cell>
          <cell r="F895">
            <v>1</v>
          </cell>
          <cell r="G895">
            <v>1</v>
          </cell>
          <cell r="H895">
            <v>0</v>
          </cell>
          <cell r="I895">
            <v>0</v>
          </cell>
          <cell r="J895">
            <v>0</v>
          </cell>
          <cell r="K895">
            <v>0</v>
          </cell>
          <cell r="L895">
            <v>0</v>
          </cell>
          <cell r="M895">
            <v>0</v>
          </cell>
          <cell r="N895">
            <v>0</v>
          </cell>
          <cell r="O895">
            <v>0</v>
          </cell>
          <cell r="P895">
            <v>0</v>
          </cell>
          <cell r="Q895">
            <v>0</v>
          </cell>
          <cell r="R895">
            <v>1</v>
          </cell>
          <cell r="S895">
            <v>0</v>
          </cell>
        </row>
        <row r="896">
          <cell r="E896" t="str">
            <v>W719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W749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WC79</v>
          </cell>
          <cell r="F898">
            <v>1</v>
          </cell>
          <cell r="G898">
            <v>0.35949999999999993</v>
          </cell>
          <cell r="H898">
            <v>0.27888000000000002</v>
          </cell>
          <cell r="I898">
            <v>1.5399999999999999E-3</v>
          </cell>
          <cell r="J898">
            <v>4.7200000000000002E-3</v>
          </cell>
          <cell r="K898">
            <v>6.9999999999999994E-5</v>
          </cell>
          <cell r="L898">
            <v>0.16874</v>
          </cell>
          <cell r="M898">
            <v>0.12261</v>
          </cell>
          <cell r="N898">
            <v>3.8700000000000002E-3</v>
          </cell>
          <cell r="O898">
            <v>5.5329999999999997E-2</v>
          </cell>
          <cell r="P898">
            <v>4.7000000000000002E-3</v>
          </cell>
          <cell r="Q898">
            <v>4.0000000000000003E-5</v>
          </cell>
          <cell r="R898">
            <v>1</v>
          </cell>
          <cell r="S898">
            <v>0</v>
          </cell>
        </row>
        <row r="901">
          <cell r="E901" t="str">
            <v>RB29</v>
          </cell>
          <cell r="F901">
            <v>1</v>
          </cell>
          <cell r="G901">
            <v>0.36968000000000012</v>
          </cell>
          <cell r="H901">
            <v>0.28654000000000002</v>
          </cell>
          <cell r="I901">
            <v>1.64E-3</v>
          </cell>
          <cell r="J901">
            <v>4.81E-3</v>
          </cell>
          <cell r="K901">
            <v>6.9999999999999994E-5</v>
          </cell>
          <cell r="L901">
            <v>0.16650999999999999</v>
          </cell>
          <cell r="M901">
            <v>0.12620999999999999</v>
          </cell>
          <cell r="N901">
            <v>3.96E-3</v>
          </cell>
          <cell r="O901">
            <v>3.5749999999999997E-2</v>
          </cell>
          <cell r="P901">
            <v>4.79E-3</v>
          </cell>
          <cell r="Q901">
            <v>4.0000000000000003E-5</v>
          </cell>
          <cell r="R901">
            <v>0.99999999999999989</v>
          </cell>
          <cell r="S901">
            <v>0</v>
          </cell>
        </row>
        <row r="902">
          <cell r="E902" t="str">
            <v>RB99</v>
          </cell>
          <cell r="F902">
            <v>1</v>
          </cell>
          <cell r="G902">
            <v>0.35933999999999988</v>
          </cell>
          <cell r="H902">
            <v>0.27876000000000001</v>
          </cell>
          <cell r="I902">
            <v>1.5399999999999999E-3</v>
          </cell>
          <cell r="J902">
            <v>4.7200000000000002E-3</v>
          </cell>
          <cell r="K902">
            <v>6.9999999999999994E-5</v>
          </cell>
          <cell r="L902">
            <v>0.16877</v>
          </cell>
          <cell r="M902">
            <v>0.12256</v>
          </cell>
          <cell r="N902">
            <v>3.8700000000000002E-3</v>
          </cell>
          <cell r="O902">
            <v>5.5629999999999999E-2</v>
          </cell>
          <cell r="P902">
            <v>4.7000000000000002E-3</v>
          </cell>
          <cell r="Q902">
            <v>4.0000000000000003E-5</v>
          </cell>
          <cell r="R902">
            <v>0.99999999999999989</v>
          </cell>
          <cell r="S902">
            <v>0</v>
          </cell>
        </row>
        <row r="903">
          <cell r="E903" t="str">
            <v>CW29</v>
          </cell>
          <cell r="F903">
            <v>1</v>
          </cell>
          <cell r="G903">
            <v>1</v>
          </cell>
          <cell r="H903">
            <v>0</v>
          </cell>
          <cell r="I903">
            <v>0</v>
          </cell>
          <cell r="J903">
            <v>0</v>
          </cell>
          <cell r="K903">
            <v>0</v>
          </cell>
          <cell r="L903">
            <v>0</v>
          </cell>
          <cell r="M903">
            <v>0</v>
          </cell>
          <cell r="N903">
            <v>0</v>
          </cell>
          <cell r="O903">
            <v>0</v>
          </cell>
          <cell r="P903">
            <v>0</v>
          </cell>
          <cell r="Q903">
            <v>0</v>
          </cell>
          <cell r="R903">
            <v>1</v>
          </cell>
          <cell r="S903">
            <v>0</v>
          </cell>
        </row>
        <row r="905">
          <cell r="R905" t="str">
            <v>FR-16(7)(v)-4</v>
          </cell>
        </row>
        <row r="906">
          <cell r="R906" t="str">
            <v>WITNESS RESPONSIBLE:</v>
          </cell>
        </row>
        <row r="907">
          <cell r="R907" t="str">
            <v>JAMES E. ZIOLKOWSKI</v>
          </cell>
        </row>
        <row r="908">
          <cell r="R908" t="str">
            <v>PAGE 18 OF 18</v>
          </cell>
        </row>
        <row r="911">
          <cell r="F911" t="str">
            <v>TOTAL</v>
          </cell>
          <cell r="H911" t="str">
            <v>DS</v>
          </cell>
          <cell r="I911" t="str">
            <v>GSFL</v>
          </cell>
          <cell r="J911" t="str">
            <v>EH</v>
          </cell>
          <cell r="K911" t="str">
            <v>SP</v>
          </cell>
          <cell r="L911" t="str">
            <v>DT SEC</v>
          </cell>
          <cell r="M911" t="str">
            <v>DT PRI</v>
          </cell>
          <cell r="N911" t="str">
            <v>DP</v>
          </cell>
          <cell r="O911" t="str">
            <v>TT</v>
          </cell>
          <cell r="Q911" t="str">
            <v>OTHER</v>
          </cell>
        </row>
        <row r="912">
          <cell r="F912" t="str">
            <v>PRODUCTION</v>
          </cell>
          <cell r="G912" t="str">
            <v>RS</v>
          </cell>
          <cell r="H912" t="str">
            <v>SECONDARY</v>
          </cell>
          <cell r="I912" t="str">
            <v>SECONDARY</v>
          </cell>
          <cell r="J912" t="str">
            <v>SECONDARY</v>
          </cell>
          <cell r="K912" t="str">
            <v>SECONDARY</v>
          </cell>
          <cell r="L912" t="str">
            <v>SECONDARY</v>
          </cell>
          <cell r="M912" t="str">
            <v>PRIMARY</v>
          </cell>
          <cell r="N912" t="str">
            <v>PRIMARY</v>
          </cell>
          <cell r="O912" t="str">
            <v>TRANSMISSION</v>
          </cell>
          <cell r="P912" t="str">
            <v>LT</v>
          </cell>
          <cell r="Q912" t="str">
            <v>WATER</v>
          </cell>
          <cell r="R912" t="str">
            <v>TOTAL</v>
          </cell>
          <cell r="S912" t="str">
            <v>ALL</v>
          </cell>
        </row>
        <row r="913">
          <cell r="E913" t="str">
            <v>ALLO</v>
          </cell>
          <cell r="F913" t="str">
            <v>ENERGY</v>
          </cell>
          <cell r="G913" t="str">
            <v>RESIDENTIAL</v>
          </cell>
          <cell r="H913" t="str">
            <v>DISTRIBUTION</v>
          </cell>
          <cell r="I913" t="str">
            <v>DISTRIBUTION</v>
          </cell>
          <cell r="J913" t="str">
            <v>DISTRIBUTION</v>
          </cell>
          <cell r="K913" t="str">
            <v>DISTRIBUTION</v>
          </cell>
          <cell r="L913" t="str">
            <v>DISTRIBUTION</v>
          </cell>
          <cell r="M913" t="str">
            <v>DISTRIBUTION</v>
          </cell>
          <cell r="N913" t="str">
            <v>DISTRIBUTION</v>
          </cell>
          <cell r="O913" t="str">
            <v>TIME OF DAY</v>
          </cell>
          <cell r="P913" t="str">
            <v>LIGHTING</v>
          </cell>
          <cell r="Q913" t="str">
            <v>PUMPING</v>
          </cell>
          <cell r="R913" t="str">
            <v>AT ISSUE</v>
          </cell>
          <cell r="S913" t="str">
            <v>OTHER</v>
          </cell>
        </row>
        <row r="914">
          <cell r="E914">
            <v>1</v>
          </cell>
          <cell r="G914">
            <v>3</v>
          </cell>
          <cell r="H914">
            <v>4</v>
          </cell>
          <cell r="I914">
            <v>5</v>
          </cell>
          <cell r="J914">
            <v>6</v>
          </cell>
          <cell r="K914">
            <v>7</v>
          </cell>
          <cell r="L914">
            <v>8</v>
          </cell>
          <cell r="M914">
            <v>9</v>
          </cell>
          <cell r="N914">
            <v>10</v>
          </cell>
          <cell r="O914">
            <v>11</v>
          </cell>
          <cell r="P914">
            <v>12</v>
          </cell>
          <cell r="Q914">
            <v>13</v>
          </cell>
          <cell r="S914" t="str">
            <v xml:space="preserve"> </v>
          </cell>
        </row>
        <row r="916">
          <cell r="E916" t="str">
            <v>P349</v>
          </cell>
          <cell r="F916">
            <v>1</v>
          </cell>
          <cell r="G916">
            <v>1</v>
          </cell>
          <cell r="H916">
            <v>0</v>
          </cell>
          <cell r="I916">
            <v>0</v>
          </cell>
          <cell r="J916">
            <v>0</v>
          </cell>
          <cell r="K916">
            <v>0</v>
          </cell>
          <cell r="L916">
            <v>0</v>
          </cell>
          <cell r="M916">
            <v>0</v>
          </cell>
          <cell r="N916">
            <v>0</v>
          </cell>
          <cell r="O916">
            <v>0</v>
          </cell>
          <cell r="P916">
            <v>0</v>
          </cell>
          <cell r="Q916">
            <v>0</v>
          </cell>
          <cell r="R916">
            <v>1</v>
          </cell>
          <cell r="S916">
            <v>0</v>
          </cell>
        </row>
        <row r="917">
          <cell r="E917" t="str">
            <v>E349</v>
          </cell>
          <cell r="F917">
            <v>1</v>
          </cell>
          <cell r="G917">
            <v>0.36055000000000004</v>
          </cell>
          <cell r="H917">
            <v>0.27966999999999997</v>
          </cell>
          <cell r="I917">
            <v>1.5499999999999999E-3</v>
          </cell>
          <cell r="J917">
            <v>4.7299999999999998E-3</v>
          </cell>
          <cell r="K917">
            <v>6.9999999999999994E-5</v>
          </cell>
          <cell r="L917">
            <v>0.16850999999999999</v>
          </cell>
          <cell r="M917">
            <v>0.12298000000000001</v>
          </cell>
          <cell r="N917">
            <v>3.8800000000000002E-3</v>
          </cell>
          <cell r="O917">
            <v>5.3310000000000003E-2</v>
          </cell>
          <cell r="P917">
            <v>4.7099999999999998E-3</v>
          </cell>
          <cell r="Q917">
            <v>4.0000000000000003E-5</v>
          </cell>
          <cell r="R917">
            <v>1</v>
          </cell>
          <cell r="S917">
            <v>0</v>
          </cell>
        </row>
        <row r="918">
          <cell r="E918" t="str">
            <v>P459</v>
          </cell>
          <cell r="F918">
            <v>1</v>
          </cell>
          <cell r="G918">
            <v>0.36055000000000004</v>
          </cell>
          <cell r="H918">
            <v>0.27966999999999997</v>
          </cell>
          <cell r="I918">
            <v>1.5499999999999999E-3</v>
          </cell>
          <cell r="J918">
            <v>4.7299999999999998E-3</v>
          </cell>
          <cell r="K918">
            <v>6.9999999999999994E-5</v>
          </cell>
          <cell r="L918">
            <v>0.16850999999999999</v>
          </cell>
          <cell r="M918">
            <v>0.12298000000000001</v>
          </cell>
          <cell r="N918">
            <v>3.8800000000000002E-3</v>
          </cell>
          <cell r="O918">
            <v>5.3310000000000003E-2</v>
          </cell>
          <cell r="P918">
            <v>4.7099999999999998E-3</v>
          </cell>
          <cell r="Q918">
            <v>4.0000000000000003E-5</v>
          </cell>
          <cell r="R918">
            <v>1</v>
          </cell>
          <cell r="S918">
            <v>0</v>
          </cell>
        </row>
        <row r="919">
          <cell r="E919" t="str">
            <v>T349</v>
          </cell>
          <cell r="F919">
            <v>1</v>
          </cell>
          <cell r="G919">
            <v>1</v>
          </cell>
          <cell r="H919">
            <v>0</v>
          </cell>
          <cell r="I919">
            <v>0</v>
          </cell>
          <cell r="J919">
            <v>0</v>
          </cell>
          <cell r="K919">
            <v>0</v>
          </cell>
          <cell r="L919">
            <v>0</v>
          </cell>
          <cell r="M919">
            <v>0</v>
          </cell>
          <cell r="N919">
            <v>0</v>
          </cell>
          <cell r="O919">
            <v>0</v>
          </cell>
          <cell r="P919">
            <v>0</v>
          </cell>
          <cell r="Q919">
            <v>0</v>
          </cell>
          <cell r="R919">
            <v>1</v>
          </cell>
          <cell r="S919">
            <v>0</v>
          </cell>
        </row>
        <row r="920">
          <cell r="E920" t="str">
            <v>D349</v>
          </cell>
          <cell r="F920">
            <v>1</v>
          </cell>
          <cell r="G920">
            <v>1</v>
          </cell>
          <cell r="H920">
            <v>0</v>
          </cell>
          <cell r="I920">
            <v>0</v>
          </cell>
          <cell r="J920">
            <v>0</v>
          </cell>
          <cell r="K920">
            <v>0</v>
          </cell>
          <cell r="L920">
            <v>0</v>
          </cell>
          <cell r="M920">
            <v>0</v>
          </cell>
          <cell r="N920">
            <v>0</v>
          </cell>
          <cell r="O920">
            <v>0</v>
          </cell>
          <cell r="P920">
            <v>0</v>
          </cell>
          <cell r="Q920">
            <v>0</v>
          </cell>
          <cell r="R920">
            <v>1</v>
          </cell>
          <cell r="S920">
            <v>0</v>
          </cell>
        </row>
        <row r="921">
          <cell r="E921" t="str">
            <v>C311</v>
          </cell>
          <cell r="F921">
            <v>1</v>
          </cell>
          <cell r="G921">
            <v>1</v>
          </cell>
          <cell r="H921">
            <v>0</v>
          </cell>
          <cell r="I921">
            <v>0</v>
          </cell>
          <cell r="J921">
            <v>0</v>
          </cell>
          <cell r="K921">
            <v>0</v>
          </cell>
          <cell r="L921">
            <v>0</v>
          </cell>
          <cell r="M921">
            <v>0</v>
          </cell>
          <cell r="N921">
            <v>0</v>
          </cell>
          <cell r="O921">
            <v>0</v>
          </cell>
          <cell r="P921">
            <v>0</v>
          </cell>
          <cell r="Q921">
            <v>0</v>
          </cell>
          <cell r="R921">
            <v>1</v>
          </cell>
          <cell r="S921">
            <v>0</v>
          </cell>
        </row>
        <row r="922">
          <cell r="E922" t="str">
            <v>C319</v>
          </cell>
          <cell r="F922">
            <v>1</v>
          </cell>
          <cell r="G922">
            <v>1</v>
          </cell>
          <cell r="H922">
            <v>0</v>
          </cell>
          <cell r="I922">
            <v>0</v>
          </cell>
          <cell r="J922">
            <v>0</v>
          </cell>
          <cell r="K922">
            <v>0</v>
          </cell>
          <cell r="L922">
            <v>0</v>
          </cell>
          <cell r="M922">
            <v>0</v>
          </cell>
          <cell r="N922">
            <v>0</v>
          </cell>
          <cell r="O922">
            <v>0</v>
          </cell>
          <cell r="P922">
            <v>0</v>
          </cell>
          <cell r="Q922">
            <v>0</v>
          </cell>
          <cell r="R922">
            <v>1</v>
          </cell>
          <cell r="S922">
            <v>0</v>
          </cell>
        </row>
        <row r="923">
          <cell r="E923" t="str">
            <v>C331</v>
          </cell>
          <cell r="F923">
            <v>1</v>
          </cell>
          <cell r="G923">
            <v>1</v>
          </cell>
          <cell r="H923">
            <v>0</v>
          </cell>
          <cell r="I923">
            <v>0</v>
          </cell>
          <cell r="J923">
            <v>0</v>
          </cell>
          <cell r="K923">
            <v>0</v>
          </cell>
          <cell r="L923">
            <v>0</v>
          </cell>
          <cell r="M923">
            <v>0</v>
          </cell>
          <cell r="N923">
            <v>0</v>
          </cell>
          <cell r="O923">
            <v>0</v>
          </cell>
          <cell r="P923">
            <v>0</v>
          </cell>
          <cell r="Q923">
            <v>0</v>
          </cell>
          <cell r="R923">
            <v>1</v>
          </cell>
          <cell r="S923">
            <v>0</v>
          </cell>
        </row>
        <row r="924">
          <cell r="E924" t="str">
            <v>S319</v>
          </cell>
          <cell r="F924">
            <v>1</v>
          </cell>
          <cell r="G924">
            <v>1</v>
          </cell>
          <cell r="H924">
            <v>0</v>
          </cell>
          <cell r="I924">
            <v>0</v>
          </cell>
          <cell r="J924">
            <v>0</v>
          </cell>
          <cell r="K924">
            <v>0</v>
          </cell>
          <cell r="L924">
            <v>0</v>
          </cell>
          <cell r="M924">
            <v>0</v>
          </cell>
          <cell r="N924">
            <v>0</v>
          </cell>
          <cell r="O924">
            <v>0</v>
          </cell>
          <cell r="P924">
            <v>0</v>
          </cell>
          <cell r="Q924">
            <v>0</v>
          </cell>
          <cell r="R924">
            <v>1</v>
          </cell>
          <cell r="S924">
            <v>0</v>
          </cell>
        </row>
        <row r="925">
          <cell r="E925" t="str">
            <v>OM39</v>
          </cell>
          <cell r="F925">
            <v>1</v>
          </cell>
          <cell r="G925">
            <v>0.36055000000000004</v>
          </cell>
          <cell r="H925">
            <v>0.27966999999999997</v>
          </cell>
          <cell r="I925">
            <v>1.5499999999999999E-3</v>
          </cell>
          <cell r="J925">
            <v>4.7299999999999998E-3</v>
          </cell>
          <cell r="K925">
            <v>6.9999999999999994E-5</v>
          </cell>
          <cell r="L925">
            <v>0.16850999999999999</v>
          </cell>
          <cell r="M925">
            <v>0.12298000000000001</v>
          </cell>
          <cell r="N925">
            <v>3.8800000000000002E-3</v>
          </cell>
          <cell r="O925">
            <v>5.3310000000000003E-2</v>
          </cell>
          <cell r="P925">
            <v>4.7099999999999998E-3</v>
          </cell>
          <cell r="Q925">
            <v>4.0000000000000003E-5</v>
          </cell>
          <cell r="R925">
            <v>1</v>
          </cell>
          <cell r="S925">
            <v>0</v>
          </cell>
        </row>
        <row r="928">
          <cell r="E928" t="str">
            <v>A300</v>
          </cell>
          <cell r="F928">
            <v>1</v>
          </cell>
          <cell r="G928">
            <v>1</v>
          </cell>
          <cell r="H928">
            <v>0</v>
          </cell>
          <cell r="I928">
            <v>0</v>
          </cell>
          <cell r="J928">
            <v>0</v>
          </cell>
          <cell r="K928">
            <v>0</v>
          </cell>
          <cell r="L928">
            <v>0</v>
          </cell>
          <cell r="M928">
            <v>0</v>
          </cell>
          <cell r="N928">
            <v>0</v>
          </cell>
          <cell r="O928">
            <v>0</v>
          </cell>
          <cell r="P928">
            <v>0</v>
          </cell>
          <cell r="Q928">
            <v>0</v>
          </cell>
          <cell r="R928">
            <v>1</v>
          </cell>
          <cell r="S928">
            <v>0</v>
          </cell>
        </row>
        <row r="929">
          <cell r="E929" t="str">
            <v>A302</v>
          </cell>
          <cell r="F929">
            <v>1</v>
          </cell>
          <cell r="G929">
            <v>0.36055000000000004</v>
          </cell>
          <cell r="H929">
            <v>0.27966999999999997</v>
          </cell>
          <cell r="I929">
            <v>1.5499999999999999E-3</v>
          </cell>
          <cell r="J929">
            <v>4.7299999999999998E-3</v>
          </cell>
          <cell r="K929">
            <v>6.9999999999999994E-5</v>
          </cell>
          <cell r="L929">
            <v>0.16850999999999999</v>
          </cell>
          <cell r="M929">
            <v>0.12298000000000001</v>
          </cell>
          <cell r="N929">
            <v>3.8800000000000002E-3</v>
          </cell>
          <cell r="O929">
            <v>5.3310000000000003E-2</v>
          </cell>
          <cell r="P929">
            <v>4.7099999999999998E-3</v>
          </cell>
          <cell r="Q929">
            <v>4.0000000000000003E-5</v>
          </cell>
          <cell r="R929">
            <v>1</v>
          </cell>
          <cell r="S929">
            <v>0</v>
          </cell>
        </row>
        <row r="930">
          <cell r="E930" t="str">
            <v>A304</v>
          </cell>
          <cell r="F930">
            <v>1</v>
          </cell>
          <cell r="G930">
            <v>1</v>
          </cell>
          <cell r="H930">
            <v>0</v>
          </cell>
          <cell r="I930">
            <v>0</v>
          </cell>
          <cell r="J930">
            <v>0</v>
          </cell>
          <cell r="K930">
            <v>0</v>
          </cell>
          <cell r="L930">
            <v>0</v>
          </cell>
          <cell r="M930">
            <v>0</v>
          </cell>
          <cell r="N930">
            <v>0</v>
          </cell>
          <cell r="O930">
            <v>0</v>
          </cell>
          <cell r="P930">
            <v>0</v>
          </cell>
          <cell r="Q930">
            <v>0</v>
          </cell>
          <cell r="R930">
            <v>1</v>
          </cell>
          <cell r="S930">
            <v>0</v>
          </cell>
        </row>
        <row r="931">
          <cell r="E931" t="str">
            <v>A306</v>
          </cell>
          <cell r="F931">
            <v>1</v>
          </cell>
          <cell r="G931">
            <v>1</v>
          </cell>
          <cell r="H931">
            <v>0</v>
          </cell>
          <cell r="I931">
            <v>0</v>
          </cell>
          <cell r="J931">
            <v>0</v>
          </cell>
          <cell r="K931">
            <v>0</v>
          </cell>
          <cell r="L931">
            <v>0</v>
          </cell>
          <cell r="M931">
            <v>0</v>
          </cell>
          <cell r="N931">
            <v>0</v>
          </cell>
          <cell r="O931">
            <v>0</v>
          </cell>
          <cell r="P931">
            <v>0</v>
          </cell>
          <cell r="Q931">
            <v>0</v>
          </cell>
          <cell r="R931">
            <v>1</v>
          </cell>
          <cell r="S931">
            <v>0</v>
          </cell>
        </row>
        <row r="932">
          <cell r="E932" t="str">
            <v>A308</v>
          </cell>
          <cell r="F932">
            <v>1</v>
          </cell>
          <cell r="G932">
            <v>1</v>
          </cell>
          <cell r="H932">
            <v>0</v>
          </cell>
          <cell r="I932">
            <v>0</v>
          </cell>
          <cell r="J932">
            <v>0</v>
          </cell>
          <cell r="K932">
            <v>0</v>
          </cell>
          <cell r="L932">
            <v>0</v>
          </cell>
          <cell r="M932">
            <v>0</v>
          </cell>
          <cell r="N932">
            <v>0</v>
          </cell>
          <cell r="O932">
            <v>0</v>
          </cell>
          <cell r="P932">
            <v>0</v>
          </cell>
          <cell r="Q932">
            <v>0</v>
          </cell>
          <cell r="R932">
            <v>1</v>
          </cell>
          <cell r="S932">
            <v>0</v>
          </cell>
        </row>
        <row r="933">
          <cell r="E933" t="str">
            <v>A310</v>
          </cell>
          <cell r="F933">
            <v>1</v>
          </cell>
          <cell r="G933">
            <v>1</v>
          </cell>
          <cell r="H933">
            <v>0</v>
          </cell>
          <cell r="I933">
            <v>0</v>
          </cell>
          <cell r="J933">
            <v>0</v>
          </cell>
          <cell r="K933">
            <v>0</v>
          </cell>
          <cell r="L933">
            <v>0</v>
          </cell>
          <cell r="M933">
            <v>0</v>
          </cell>
          <cell r="N933">
            <v>0</v>
          </cell>
          <cell r="O933">
            <v>0</v>
          </cell>
          <cell r="P933">
            <v>0</v>
          </cell>
          <cell r="Q933">
            <v>0</v>
          </cell>
          <cell r="R933">
            <v>1</v>
          </cell>
          <cell r="S933">
            <v>0</v>
          </cell>
        </row>
        <row r="934">
          <cell r="E934" t="str">
            <v>A312</v>
          </cell>
          <cell r="F934">
            <v>1</v>
          </cell>
          <cell r="G934">
            <v>1</v>
          </cell>
          <cell r="H934">
            <v>0</v>
          </cell>
          <cell r="I934">
            <v>0</v>
          </cell>
          <cell r="J934">
            <v>0</v>
          </cell>
          <cell r="K934">
            <v>0</v>
          </cell>
          <cell r="L934">
            <v>0</v>
          </cell>
          <cell r="M934">
            <v>0</v>
          </cell>
          <cell r="N934">
            <v>0</v>
          </cell>
          <cell r="O934">
            <v>0</v>
          </cell>
          <cell r="P934">
            <v>0</v>
          </cell>
          <cell r="Q934">
            <v>0</v>
          </cell>
          <cell r="R934">
            <v>1</v>
          </cell>
          <cell r="S934">
            <v>0</v>
          </cell>
        </row>
        <row r="935">
          <cell r="E935" t="str">
            <v>A315</v>
          </cell>
          <cell r="F935">
            <v>1</v>
          </cell>
          <cell r="G935">
            <v>0.36055000000000004</v>
          </cell>
          <cell r="H935">
            <v>0.27966999999999997</v>
          </cell>
          <cell r="I935">
            <v>1.5499999999999999E-3</v>
          </cell>
          <cell r="J935">
            <v>4.7299999999999998E-3</v>
          </cell>
          <cell r="K935">
            <v>6.9999999999999994E-5</v>
          </cell>
          <cell r="L935">
            <v>0.16850999999999999</v>
          </cell>
          <cell r="M935">
            <v>0.12298000000000001</v>
          </cell>
          <cell r="N935">
            <v>3.8800000000000002E-3</v>
          </cell>
          <cell r="O935">
            <v>5.3310000000000003E-2</v>
          </cell>
          <cell r="P935">
            <v>4.7099999999999998E-3</v>
          </cell>
          <cell r="Q935">
            <v>4.0000000000000003E-5</v>
          </cell>
          <cell r="R935">
            <v>1</v>
          </cell>
          <cell r="S935">
            <v>0</v>
          </cell>
        </row>
        <row r="936">
          <cell r="E936" t="str">
            <v>A357</v>
          </cell>
          <cell r="F936">
            <v>1</v>
          </cell>
          <cell r="G936">
            <v>0.36055000000000004</v>
          </cell>
          <cell r="H936">
            <v>0.27966999999999997</v>
          </cell>
          <cell r="I936">
            <v>1.5499999999999999E-3</v>
          </cell>
          <cell r="J936">
            <v>4.7299999999999998E-3</v>
          </cell>
          <cell r="K936">
            <v>6.9999999999999994E-5</v>
          </cell>
          <cell r="L936">
            <v>0.16850999999999999</v>
          </cell>
          <cell r="M936">
            <v>0.12298000000000001</v>
          </cell>
          <cell r="N936">
            <v>3.8800000000000002E-3</v>
          </cell>
          <cell r="O936">
            <v>5.3310000000000003E-2</v>
          </cell>
          <cell r="P936">
            <v>4.7099999999999998E-3</v>
          </cell>
          <cell r="Q936">
            <v>4.0000000000000003E-5</v>
          </cell>
          <cell r="R936">
            <v>1</v>
          </cell>
          <cell r="S936">
            <v>0</v>
          </cell>
        </row>
        <row r="939">
          <cell r="E939" t="str">
            <v>P489</v>
          </cell>
          <cell r="F939">
            <v>1</v>
          </cell>
          <cell r="G939">
            <v>1</v>
          </cell>
          <cell r="H939">
            <v>0</v>
          </cell>
          <cell r="I939">
            <v>0</v>
          </cell>
          <cell r="J939">
            <v>0</v>
          </cell>
          <cell r="K939">
            <v>0</v>
          </cell>
          <cell r="L939">
            <v>0</v>
          </cell>
          <cell r="M939">
            <v>0</v>
          </cell>
          <cell r="N939">
            <v>0</v>
          </cell>
          <cell r="O939">
            <v>0</v>
          </cell>
          <cell r="P939">
            <v>0</v>
          </cell>
          <cell r="Q939">
            <v>0</v>
          </cell>
          <cell r="R939">
            <v>1</v>
          </cell>
          <cell r="S939">
            <v>0</v>
          </cell>
        </row>
        <row r="940">
          <cell r="E940" t="str">
            <v>T489</v>
          </cell>
          <cell r="F940">
            <v>1</v>
          </cell>
          <cell r="G940">
            <v>1</v>
          </cell>
          <cell r="H940">
            <v>0</v>
          </cell>
          <cell r="I940">
            <v>0</v>
          </cell>
          <cell r="J940">
            <v>0</v>
          </cell>
          <cell r="K940">
            <v>0</v>
          </cell>
          <cell r="L940">
            <v>0</v>
          </cell>
          <cell r="M940">
            <v>0</v>
          </cell>
          <cell r="N940">
            <v>0</v>
          </cell>
          <cell r="O940">
            <v>0</v>
          </cell>
          <cell r="P940">
            <v>0</v>
          </cell>
          <cell r="Q940">
            <v>0</v>
          </cell>
          <cell r="R940">
            <v>1</v>
          </cell>
          <cell r="S940">
            <v>0</v>
          </cell>
        </row>
        <row r="941">
          <cell r="E941" t="str">
            <v>D489</v>
          </cell>
          <cell r="F941">
            <v>1</v>
          </cell>
          <cell r="G941">
            <v>1</v>
          </cell>
          <cell r="H941">
            <v>0</v>
          </cell>
          <cell r="I941">
            <v>0</v>
          </cell>
          <cell r="J941">
            <v>0</v>
          </cell>
          <cell r="K941">
            <v>0</v>
          </cell>
          <cell r="L941">
            <v>0</v>
          </cell>
          <cell r="M941">
            <v>0</v>
          </cell>
          <cell r="N941">
            <v>0</v>
          </cell>
          <cell r="O941">
            <v>0</v>
          </cell>
          <cell r="P941">
            <v>0</v>
          </cell>
          <cell r="Q941">
            <v>0</v>
          </cell>
          <cell r="R941">
            <v>1</v>
          </cell>
          <cell r="S941">
            <v>0</v>
          </cell>
        </row>
        <row r="942">
          <cell r="E942" t="str">
            <v>G489</v>
          </cell>
          <cell r="F942">
            <v>1</v>
          </cell>
          <cell r="G942">
            <v>0.35968999999999995</v>
          </cell>
          <cell r="H942">
            <v>0.27901999999999999</v>
          </cell>
          <cell r="I942">
            <v>1.5399999999999999E-3</v>
          </cell>
          <cell r="J942">
            <v>4.7200000000000002E-3</v>
          </cell>
          <cell r="K942">
            <v>6.9999999999999994E-5</v>
          </cell>
          <cell r="L942">
            <v>0.16869999999999999</v>
          </cell>
          <cell r="M942">
            <v>0.12267</v>
          </cell>
          <cell r="N942">
            <v>3.8700000000000002E-3</v>
          </cell>
          <cell r="O942">
            <v>5.4980000000000001E-2</v>
          </cell>
          <cell r="P942">
            <v>4.7000000000000002E-3</v>
          </cell>
          <cell r="Q942">
            <v>4.0000000000000003E-5</v>
          </cell>
          <cell r="R942">
            <v>0.99999999999999989</v>
          </cell>
          <cell r="S942">
            <v>0</v>
          </cell>
        </row>
        <row r="943">
          <cell r="E943" t="str">
            <v>C489</v>
          </cell>
          <cell r="F943">
            <v>1</v>
          </cell>
          <cell r="G943">
            <v>0.3597999999999999</v>
          </cell>
          <cell r="H943">
            <v>0.27911999999999998</v>
          </cell>
          <cell r="I943">
            <v>1.5399999999999999E-3</v>
          </cell>
          <cell r="J943">
            <v>4.7200000000000002E-3</v>
          </cell>
          <cell r="K943">
            <v>6.9999999999999994E-5</v>
          </cell>
          <cell r="L943">
            <v>0.16866999999999999</v>
          </cell>
          <cell r="M943">
            <v>0.12273000000000001</v>
          </cell>
          <cell r="N943">
            <v>3.8700000000000002E-3</v>
          </cell>
          <cell r="O943">
            <v>5.4730000000000001E-2</v>
          </cell>
          <cell r="P943">
            <v>4.7099999999999998E-3</v>
          </cell>
          <cell r="Q943">
            <v>4.0000000000000003E-5</v>
          </cell>
          <cell r="R943">
            <v>1</v>
          </cell>
          <cell r="S943">
            <v>0</v>
          </cell>
        </row>
        <row r="944">
          <cell r="E944" t="str">
            <v>DE49</v>
          </cell>
          <cell r="F944">
            <v>1</v>
          </cell>
          <cell r="G944">
            <v>0.35968999999999984</v>
          </cell>
          <cell r="H944">
            <v>0.27903</v>
          </cell>
          <cell r="I944">
            <v>1.5399999999999999E-3</v>
          </cell>
          <cell r="J944">
            <v>4.7200000000000002E-3</v>
          </cell>
          <cell r="K944">
            <v>6.9999999999999994E-5</v>
          </cell>
          <cell r="L944">
            <v>0.16869999999999999</v>
          </cell>
          <cell r="M944">
            <v>0.12268</v>
          </cell>
          <cell r="N944">
            <v>3.8700000000000002E-3</v>
          </cell>
          <cell r="O944">
            <v>5.4960000000000002E-2</v>
          </cell>
          <cell r="P944">
            <v>4.7000000000000002E-3</v>
          </cell>
          <cell r="Q944">
            <v>4.0000000000000003E-5</v>
          </cell>
          <cell r="R944">
            <v>0.99999999999999989</v>
          </cell>
          <cell r="S944">
            <v>0</v>
          </cell>
        </row>
        <row r="947">
          <cell r="E947" t="str">
            <v>L529</v>
          </cell>
          <cell r="F947">
            <v>1</v>
          </cell>
          <cell r="G947">
            <v>0.35968999999999995</v>
          </cell>
          <cell r="H947">
            <v>0.27901999999999999</v>
          </cell>
          <cell r="I947">
            <v>1.5299999999999999E-3</v>
          </cell>
          <cell r="J947">
            <v>4.7099999999999998E-3</v>
          </cell>
          <cell r="K947">
            <v>8.0000000000000007E-5</v>
          </cell>
          <cell r="L947">
            <v>0.16869999999999999</v>
          </cell>
          <cell r="M947">
            <v>0.12268999999999999</v>
          </cell>
          <cell r="N947">
            <v>3.8700000000000002E-3</v>
          </cell>
          <cell r="O947">
            <v>5.4980000000000001E-2</v>
          </cell>
          <cell r="P947">
            <v>4.6899999999999997E-3</v>
          </cell>
          <cell r="Q947">
            <v>4.0000000000000003E-5</v>
          </cell>
          <cell r="R947">
            <v>0.99999999999999989</v>
          </cell>
          <cell r="S947">
            <v>0</v>
          </cell>
        </row>
        <row r="948">
          <cell r="E948" t="str">
            <v>L589</v>
          </cell>
          <cell r="F948">
            <v>1</v>
          </cell>
          <cell r="G948">
            <v>0.36055000000000004</v>
          </cell>
          <cell r="H948">
            <v>0.27966999999999997</v>
          </cell>
          <cell r="I948">
            <v>1.5499999999999999E-3</v>
          </cell>
          <cell r="J948">
            <v>4.7299999999999998E-3</v>
          </cell>
          <cell r="K948">
            <v>6.9999999999999994E-5</v>
          </cell>
          <cell r="L948">
            <v>0.16850999999999999</v>
          </cell>
          <cell r="M948">
            <v>0.12298000000000001</v>
          </cell>
          <cell r="N948">
            <v>3.8800000000000002E-3</v>
          </cell>
          <cell r="O948">
            <v>5.3310000000000003E-2</v>
          </cell>
          <cell r="P948">
            <v>4.7099999999999998E-3</v>
          </cell>
          <cell r="Q948">
            <v>4.0000000000000003E-5</v>
          </cell>
          <cell r="R948">
            <v>1</v>
          </cell>
          <cell r="S948">
            <v>0</v>
          </cell>
        </row>
        <row r="949">
          <cell r="E949" t="str">
            <v>L599</v>
          </cell>
          <cell r="F949">
            <v>1</v>
          </cell>
          <cell r="G949">
            <v>0.36195999999999995</v>
          </cell>
          <cell r="H949">
            <v>0.28027999999999997</v>
          </cell>
          <cell r="I949">
            <v>1.56E-3</v>
          </cell>
          <cell r="J949">
            <v>4.62E-3</v>
          </cell>
          <cell r="K949">
            <v>6.9999999999999994E-5</v>
          </cell>
          <cell r="L949">
            <v>0.16778999999999999</v>
          </cell>
          <cell r="M949">
            <v>0.12203</v>
          </cell>
          <cell r="N949">
            <v>3.8400000000000001E-3</v>
          </cell>
          <cell r="O949">
            <v>5.3039999999999997E-2</v>
          </cell>
          <cell r="P949">
            <v>4.7699999999999999E-3</v>
          </cell>
          <cell r="Q949">
            <v>4.0000000000000003E-5</v>
          </cell>
          <cell r="R949">
            <v>0.99999999999999989</v>
          </cell>
          <cell r="S949">
            <v>0</v>
          </cell>
        </row>
        <row r="950">
          <cell r="E950" t="str">
            <v>OP69</v>
          </cell>
          <cell r="F950">
            <v>1</v>
          </cell>
          <cell r="G950">
            <v>0.36055999999999988</v>
          </cell>
          <cell r="H950">
            <v>0.27966000000000002</v>
          </cell>
          <cell r="I950">
            <v>1.5499999999999999E-3</v>
          </cell>
          <cell r="J950">
            <v>4.7299999999999998E-3</v>
          </cell>
          <cell r="K950">
            <v>6.9999999999999994E-5</v>
          </cell>
          <cell r="L950">
            <v>0.16850999999999999</v>
          </cell>
          <cell r="M950">
            <v>0.12297</v>
          </cell>
          <cell r="N950">
            <v>3.8800000000000002E-3</v>
          </cell>
          <cell r="O950">
            <v>5.3319999999999999E-2</v>
          </cell>
          <cell r="P950">
            <v>4.7099999999999998E-3</v>
          </cell>
          <cell r="Q950">
            <v>4.0000000000000003E-5</v>
          </cell>
          <cell r="R950">
            <v>1</v>
          </cell>
          <cell r="S950">
            <v>0</v>
          </cell>
        </row>
        <row r="953">
          <cell r="E953" t="str">
            <v>CS09</v>
          </cell>
          <cell r="F953">
            <v>1</v>
          </cell>
          <cell r="G953">
            <v>0.3605333180000001</v>
          </cell>
          <cell r="H953">
            <v>0.27965409899999999</v>
          </cell>
          <cell r="I953">
            <v>1.5471809999999999E-3</v>
          </cell>
          <cell r="J953">
            <v>4.7328229999999997E-3</v>
          </cell>
          <cell r="K953">
            <v>6.9988999999999997E-5</v>
          </cell>
          <cell r="L953">
            <v>0.168514264</v>
          </cell>
          <cell r="M953">
            <v>0.122967037</v>
          </cell>
          <cell r="N953">
            <v>3.8830399999999999E-3</v>
          </cell>
          <cell r="O953">
            <v>5.3344968999999999E-2</v>
          </cell>
          <cell r="P953">
            <v>4.713287E-3</v>
          </cell>
          <cell r="Q953">
            <v>3.9993000000000001E-5</v>
          </cell>
          <cell r="R953">
            <v>1</v>
          </cell>
          <cell r="S953">
            <v>0</v>
          </cell>
        </row>
        <row r="973">
          <cell r="F973">
            <v>0</v>
          </cell>
        </row>
      </sheetData>
      <sheetData sheetId="7">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row>
        <row r="825">
          <cell r="E825" t="str">
            <v>K209</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11</v>
          </cell>
          <cell r="P840">
            <v>394</v>
          </cell>
          <cell r="Q840">
            <v>11</v>
          </cell>
          <cell r="R840">
            <v>140010</v>
          </cell>
          <cell r="S840">
            <v>4</v>
          </cell>
        </row>
        <row r="841">
          <cell r="E841" t="str">
            <v>K405</v>
          </cell>
          <cell r="F841">
            <v>1</v>
          </cell>
          <cell r="G841">
            <v>0.90183000000000002</v>
          </cell>
          <cell r="H841">
            <v>9.1660000000000005E-2</v>
          </cell>
          <cell r="I841">
            <v>1.2199999999999999E-3</v>
          </cell>
          <cell r="J841">
            <v>7.3999999999999999E-4</v>
          </cell>
          <cell r="K841">
            <v>1.1E-4</v>
          </cell>
          <cell r="L841">
            <v>1.1000000000000001E-3</v>
          </cell>
          <cell r="M841">
            <v>2.5999999999999998E-4</v>
          </cell>
          <cell r="N841">
            <v>6.9999999999999994E-5</v>
          </cell>
          <cell r="O841">
            <v>8.0000000000000007E-5</v>
          </cell>
          <cell r="P841">
            <v>2.81E-3</v>
          </cell>
          <cell r="Q841">
            <v>8.0000000000000007E-5</v>
          </cell>
          <cell r="R841">
            <v>0.99995999999999996</v>
          </cell>
          <cell r="S841">
            <v>4.0000000000040004E-5</v>
          </cell>
        </row>
        <row r="842">
          <cell r="F842">
            <v>6350638</v>
          </cell>
          <cell r="G842">
            <v>3299927</v>
          </cell>
          <cell r="H842">
            <v>2696699</v>
          </cell>
          <cell r="I842">
            <v>0</v>
          </cell>
          <cell r="J842">
            <v>22657</v>
          </cell>
          <cell r="K842">
            <v>2715</v>
          </cell>
          <cell r="L842">
            <v>125418</v>
          </cell>
          <cell r="M842">
            <v>0</v>
          </cell>
          <cell r="N842">
            <v>10654</v>
          </cell>
          <cell r="O842">
            <v>16048</v>
          </cell>
          <cell r="P842">
            <v>0</v>
          </cell>
          <cell r="Q842">
            <v>176520</v>
          </cell>
          <cell r="R842">
            <v>6350638</v>
          </cell>
          <cell r="S842">
            <v>0</v>
          </cell>
        </row>
        <row r="843">
          <cell r="E843" t="str">
            <v>K407</v>
          </cell>
          <cell r="F843">
            <v>1</v>
          </cell>
          <cell r="G843">
            <v>0.51961000000000002</v>
          </cell>
          <cell r="H843">
            <v>0.42463000000000001</v>
          </cell>
          <cell r="I843">
            <v>0</v>
          </cell>
          <cell r="J843">
            <v>3.5699999999999998E-3</v>
          </cell>
          <cell r="K843">
            <v>4.2999999999999999E-4</v>
          </cell>
          <cell r="L843">
            <v>1.975E-2</v>
          </cell>
          <cell r="M843">
            <v>0</v>
          </cell>
          <cell r="N843">
            <v>1.6800000000000001E-3</v>
          </cell>
          <cell r="O843">
            <v>2.5300000000000001E-3</v>
          </cell>
          <cell r="P843">
            <v>0</v>
          </cell>
          <cell r="Q843">
            <v>2.7799999999999998E-2</v>
          </cell>
          <cell r="R843">
            <v>1</v>
          </cell>
          <cell r="S843">
            <v>0</v>
          </cell>
        </row>
        <row r="844">
          <cell r="F844">
            <v>243058</v>
          </cell>
          <cell r="G844">
            <v>126269</v>
          </cell>
          <cell r="H844">
            <v>102622</v>
          </cell>
          <cell r="I844">
            <v>171</v>
          </cell>
          <cell r="J844">
            <v>832</v>
          </cell>
          <cell r="K844">
            <v>112</v>
          </cell>
          <cell r="L844">
            <v>4804</v>
          </cell>
          <cell r="M844">
            <v>37</v>
          </cell>
          <cell r="N844">
            <v>410</v>
          </cell>
          <cell r="O844">
            <v>620</v>
          </cell>
          <cell r="P844">
            <v>394</v>
          </cell>
          <cell r="Q844">
            <v>6787</v>
          </cell>
          <cell r="R844">
            <v>243058</v>
          </cell>
          <cell r="S844">
            <v>0</v>
          </cell>
        </row>
        <row r="845">
          <cell r="E845" t="str">
            <v>K409</v>
          </cell>
          <cell r="F845">
            <v>1</v>
          </cell>
          <cell r="G845">
            <v>0.51951999999999998</v>
          </cell>
          <cell r="H845">
            <v>0.42220999999999997</v>
          </cell>
          <cell r="I845">
            <v>6.9999999999999999E-4</v>
          </cell>
          <cell r="J845">
            <v>3.4199999999999999E-3</v>
          </cell>
          <cell r="K845">
            <v>4.6000000000000001E-4</v>
          </cell>
          <cell r="L845">
            <v>1.976E-2</v>
          </cell>
          <cell r="M845">
            <v>1.4999999999999999E-4</v>
          </cell>
          <cell r="N845">
            <v>1.6900000000000001E-3</v>
          </cell>
          <cell r="O845">
            <v>2.5500000000000002E-3</v>
          </cell>
          <cell r="P845">
            <v>1.6199999999999999E-3</v>
          </cell>
          <cell r="Q845">
            <v>2.792E-2</v>
          </cell>
          <cell r="R845">
            <v>1</v>
          </cell>
          <cell r="S845">
            <v>0</v>
          </cell>
        </row>
        <row r="846">
          <cell r="F846">
            <v>1498164.3299999998</v>
          </cell>
          <cell r="G846">
            <v>1370864</v>
          </cell>
          <cell r="H846">
            <v>62282.329999999842</v>
          </cell>
          <cell r="I846">
            <v>409</v>
          </cell>
          <cell r="J846">
            <v>432</v>
          </cell>
          <cell r="K846">
            <v>20</v>
          </cell>
          <cell r="L846">
            <v>31779</v>
          </cell>
          <cell r="M846">
            <v>21269</v>
          </cell>
          <cell r="N846">
            <v>642</v>
          </cell>
          <cell r="O846">
            <v>9153</v>
          </cell>
          <cell r="P846">
            <v>1309</v>
          </cell>
          <cell r="Q846">
            <v>5</v>
          </cell>
          <cell r="R846">
            <v>1498164.3299999998</v>
          </cell>
          <cell r="S846">
            <v>0</v>
          </cell>
        </row>
        <row r="847">
          <cell r="E847" t="str">
            <v>K411</v>
          </cell>
          <cell r="F847">
            <v>1</v>
          </cell>
          <cell r="G847">
            <v>0.91503999999999996</v>
          </cell>
          <cell r="H847">
            <v>4.1570000000000003E-2</v>
          </cell>
          <cell r="I847">
            <v>2.7E-4</v>
          </cell>
          <cell r="J847">
            <v>2.9E-4</v>
          </cell>
          <cell r="K847">
            <v>1.0000000000000001E-5</v>
          </cell>
          <cell r="L847">
            <v>2.121E-2</v>
          </cell>
          <cell r="M847">
            <v>1.4200000000000001E-2</v>
          </cell>
          <cell r="N847">
            <v>4.2999999999999999E-4</v>
          </cell>
          <cell r="O847">
            <v>6.11E-3</v>
          </cell>
          <cell r="P847">
            <v>8.7000000000000001E-4</v>
          </cell>
          <cell r="Q847">
            <v>0</v>
          </cell>
          <cell r="R847">
            <v>0.99999999999999989</v>
          </cell>
          <cell r="S847">
            <v>0</v>
          </cell>
        </row>
        <row r="848">
          <cell r="F848">
            <v>4178319049</v>
          </cell>
          <cell r="G848">
            <v>1508499412</v>
          </cell>
          <cell r="H848">
            <v>1170020285</v>
          </cell>
          <cell r="I848">
            <v>6457090</v>
          </cell>
          <cell r="J848">
            <v>19810437</v>
          </cell>
          <cell r="K848">
            <v>277908</v>
          </cell>
          <cell r="L848">
            <v>703656372</v>
          </cell>
          <cell r="M848">
            <v>514497482</v>
          </cell>
          <cell r="N848">
            <v>16235892</v>
          </cell>
          <cell r="O848">
            <v>218940404</v>
          </cell>
          <cell r="P848">
            <v>19741342</v>
          </cell>
          <cell r="Q848">
            <v>182425</v>
          </cell>
          <cell r="R848">
            <v>4178319049</v>
          </cell>
          <cell r="S848">
            <v>0</v>
          </cell>
        </row>
        <row r="849">
          <cell r="E849" t="str">
            <v>K302</v>
          </cell>
          <cell r="F849">
            <v>1</v>
          </cell>
          <cell r="G849">
            <v>0.36102000000000001</v>
          </cell>
          <cell r="H849">
            <v>0.28001999999999999</v>
          </cell>
          <cell r="I849">
            <v>1.5499999999999999E-3</v>
          </cell>
          <cell r="J849">
            <v>4.7400000000000003E-3</v>
          </cell>
          <cell r="K849">
            <v>6.9999999999999994E-5</v>
          </cell>
          <cell r="L849">
            <v>0.16841</v>
          </cell>
          <cell r="M849">
            <v>0.12314</v>
          </cell>
          <cell r="N849">
            <v>3.8899999999999998E-3</v>
          </cell>
          <cell r="O849">
            <v>5.2400000000000002E-2</v>
          </cell>
          <cell r="P849">
            <v>4.7200000000000002E-3</v>
          </cell>
          <cell r="Q849">
            <v>4.0000000000000003E-5</v>
          </cell>
          <cell r="R849">
            <v>1</v>
          </cell>
          <cell r="S849">
            <v>0</v>
          </cell>
        </row>
        <row r="851">
          <cell r="E851" t="str">
            <v>R600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row>
        <row r="852">
          <cell r="E852" t="str">
            <v>R602</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row>
        <row r="854">
          <cell r="R854" t="str">
            <v>FR-16(7)(v)-5</v>
          </cell>
        </row>
        <row r="855">
          <cell r="R855" t="str">
            <v>WITNESS RESPONSIBLE:</v>
          </cell>
        </row>
        <row r="856">
          <cell r="R856" t="str">
            <v>JAMES E. ZIOLKOWSKI</v>
          </cell>
        </row>
        <row r="857">
          <cell r="R857" t="str">
            <v>PAGE 17 OF 18</v>
          </cell>
        </row>
        <row r="860">
          <cell r="F860" t="str">
            <v>TOTAL</v>
          </cell>
          <cell r="H860" t="str">
            <v>DS</v>
          </cell>
          <cell r="I860" t="str">
            <v>GSFL</v>
          </cell>
          <cell r="J860" t="str">
            <v>EH</v>
          </cell>
          <cell r="K860" t="str">
            <v>SP</v>
          </cell>
          <cell r="L860" t="str">
            <v>DT SEC</v>
          </cell>
          <cell r="M860" t="str">
            <v>DT PRI</v>
          </cell>
          <cell r="N860" t="str">
            <v>DP</v>
          </cell>
          <cell r="O860" t="str">
            <v>TT</v>
          </cell>
          <cell r="Q860" t="str">
            <v>OTHER</v>
          </cell>
        </row>
        <row r="861">
          <cell r="F861" t="str">
            <v>PRODUCTION</v>
          </cell>
          <cell r="G861" t="str">
            <v>RS</v>
          </cell>
          <cell r="H861" t="str">
            <v>SECONDARY</v>
          </cell>
          <cell r="I861" t="str">
            <v>SECONDARY</v>
          </cell>
          <cell r="J861" t="str">
            <v>SECONDARY</v>
          </cell>
          <cell r="K861" t="str">
            <v>SECONDARY</v>
          </cell>
          <cell r="L861" t="str">
            <v>SECONDARY</v>
          </cell>
          <cell r="M861" t="str">
            <v>PRIMARY</v>
          </cell>
          <cell r="N861" t="str">
            <v>PRIMARY</v>
          </cell>
          <cell r="O861" t="str">
            <v>TRANSMISSION</v>
          </cell>
          <cell r="P861" t="str">
            <v>LT</v>
          </cell>
          <cell r="Q861" t="str">
            <v>WATER</v>
          </cell>
          <cell r="R861" t="str">
            <v>TOTAL</v>
          </cell>
          <cell r="S861" t="str">
            <v>ALL</v>
          </cell>
        </row>
        <row r="862">
          <cell r="E862" t="str">
            <v>ALLO</v>
          </cell>
          <cell r="F862" t="str">
            <v>CUSTOMER</v>
          </cell>
          <cell r="G862" t="str">
            <v>RESIDENTIAL</v>
          </cell>
          <cell r="H862" t="str">
            <v>DISTRIBUTION</v>
          </cell>
          <cell r="I862" t="str">
            <v>DISTRIBUTION</v>
          </cell>
          <cell r="J862" t="str">
            <v>DISTRIBUTION</v>
          </cell>
          <cell r="K862" t="str">
            <v>DISTRIBUTION</v>
          </cell>
          <cell r="L862" t="str">
            <v>DISTRIBUTION</v>
          </cell>
          <cell r="M862" t="str">
            <v>DISTRIBUTION</v>
          </cell>
          <cell r="N862" t="str">
            <v>DISTRIBUTION</v>
          </cell>
          <cell r="O862" t="str">
            <v>TIME OF DAY</v>
          </cell>
          <cell r="P862" t="str">
            <v>LIGHTING</v>
          </cell>
          <cell r="Q862" t="str">
            <v>PUMPING</v>
          </cell>
          <cell r="R862" t="str">
            <v>AT ISSUE</v>
          </cell>
          <cell r="S862" t="str">
            <v>OTHER</v>
          </cell>
        </row>
        <row r="863">
          <cell r="E863">
            <v>1</v>
          </cell>
          <cell r="G863">
            <v>3</v>
          </cell>
          <cell r="H863">
            <v>4</v>
          </cell>
          <cell r="I863">
            <v>5</v>
          </cell>
          <cell r="J863">
            <v>6</v>
          </cell>
          <cell r="K863">
            <v>7</v>
          </cell>
          <cell r="L863">
            <v>8</v>
          </cell>
          <cell r="M863">
            <v>9</v>
          </cell>
          <cell r="N863">
            <v>10</v>
          </cell>
          <cell r="O863">
            <v>11</v>
          </cell>
          <cell r="P863">
            <v>12</v>
          </cell>
          <cell r="Q863">
            <v>13</v>
          </cell>
          <cell r="S863" t="str">
            <v xml:space="preserve"> </v>
          </cell>
        </row>
        <row r="865">
          <cell r="F865">
            <v>304312778</v>
          </cell>
          <cell r="G865">
            <v>120391018</v>
          </cell>
          <cell r="H865">
            <v>89967454</v>
          </cell>
          <cell r="I865">
            <v>589997</v>
          </cell>
          <cell r="J865">
            <v>623628</v>
          </cell>
          <cell r="K865">
            <v>28730</v>
          </cell>
          <cell r="L865">
            <v>45903624</v>
          </cell>
          <cell r="M865">
            <v>30722085</v>
          </cell>
          <cell r="N865">
            <v>926746</v>
          </cell>
          <cell r="O865">
            <v>13220511</v>
          </cell>
          <cell r="P865">
            <v>1889364</v>
          </cell>
          <cell r="Q865">
            <v>7414</v>
          </cell>
          <cell r="R865">
            <v>304270571</v>
          </cell>
          <cell r="S865">
            <v>42207</v>
          </cell>
        </row>
        <row r="866">
          <cell r="E866" t="str">
            <v>K901</v>
          </cell>
          <cell r="F866">
            <v>1</v>
          </cell>
          <cell r="G866">
            <v>0.39562000000000003</v>
          </cell>
          <cell r="H866">
            <v>0.295641394</v>
          </cell>
          <cell r="I866">
            <v>1.9387849999999999E-3</v>
          </cell>
          <cell r="J866">
            <v>2.0492990000000001E-3</v>
          </cell>
          <cell r="K866">
            <v>9.4408999999999997E-5</v>
          </cell>
          <cell r="L866">
            <v>0.15084356400000001</v>
          </cell>
          <cell r="M866">
            <v>0.100955619</v>
          </cell>
          <cell r="N866">
            <v>3.0453730000000001E-3</v>
          </cell>
          <cell r="O866">
            <v>4.3443824999999998E-2</v>
          </cell>
          <cell r="P866">
            <v>6.2086249999999997E-3</v>
          </cell>
          <cell r="Q866">
            <v>2.4363E-5</v>
          </cell>
          <cell r="R866">
            <v>0.99986525599999998</v>
          </cell>
          <cell r="S866">
            <v>1.3474400000001996E-4</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K902</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72">
          <cell r="E872" t="str">
            <v>P129</v>
          </cell>
          <cell r="F872">
            <v>1</v>
          </cell>
          <cell r="G872">
            <v>1</v>
          </cell>
          <cell r="H872">
            <v>0</v>
          </cell>
          <cell r="I872">
            <v>0</v>
          </cell>
          <cell r="J872">
            <v>0</v>
          </cell>
          <cell r="K872">
            <v>0</v>
          </cell>
          <cell r="L872">
            <v>0</v>
          </cell>
          <cell r="M872">
            <v>0</v>
          </cell>
          <cell r="N872">
            <v>0</v>
          </cell>
          <cell r="O872">
            <v>0</v>
          </cell>
          <cell r="P872">
            <v>0</v>
          </cell>
          <cell r="Q872">
            <v>0</v>
          </cell>
          <cell r="R872">
            <v>1</v>
          </cell>
          <cell r="S872">
            <v>0</v>
          </cell>
        </row>
        <row r="873">
          <cell r="E873" t="str">
            <v>T129</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row>
        <row r="874">
          <cell r="E874" t="str">
            <v>PT29</v>
          </cell>
          <cell r="F874">
            <v>1</v>
          </cell>
          <cell r="G874">
            <v>1</v>
          </cell>
          <cell r="H874">
            <v>0</v>
          </cell>
          <cell r="I874">
            <v>0</v>
          </cell>
          <cell r="J874">
            <v>0</v>
          </cell>
          <cell r="K874">
            <v>0</v>
          </cell>
          <cell r="L874">
            <v>0</v>
          </cell>
          <cell r="M874">
            <v>0</v>
          </cell>
          <cell r="N874">
            <v>0</v>
          </cell>
          <cell r="O874">
            <v>0</v>
          </cell>
          <cell r="P874">
            <v>0</v>
          </cell>
          <cell r="Q874">
            <v>0</v>
          </cell>
          <cell r="R874">
            <v>1</v>
          </cell>
          <cell r="S874">
            <v>0</v>
          </cell>
        </row>
        <row r="875">
          <cell r="E875" t="str">
            <v>D149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TD29</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row>
        <row r="877">
          <cell r="E877" t="str">
            <v>PD29</v>
          </cell>
          <cell r="F877">
            <v>1</v>
          </cell>
          <cell r="G877">
            <v>1</v>
          </cell>
          <cell r="H877">
            <v>0</v>
          </cell>
          <cell r="I877">
            <v>0</v>
          </cell>
          <cell r="J877">
            <v>0</v>
          </cell>
          <cell r="K877">
            <v>0</v>
          </cell>
          <cell r="L877">
            <v>0</v>
          </cell>
          <cell r="M877">
            <v>0</v>
          </cell>
          <cell r="N877">
            <v>0</v>
          </cell>
          <cell r="O877">
            <v>0</v>
          </cell>
          <cell r="P877">
            <v>0</v>
          </cell>
          <cell r="Q877">
            <v>0</v>
          </cell>
          <cell r="R877">
            <v>1</v>
          </cell>
          <cell r="S877">
            <v>0</v>
          </cell>
        </row>
        <row r="878">
          <cell r="E878" t="str">
            <v>G129</v>
          </cell>
          <cell r="F878">
            <v>1</v>
          </cell>
          <cell r="G878">
            <v>1</v>
          </cell>
          <cell r="H878">
            <v>0</v>
          </cell>
          <cell r="I878">
            <v>0</v>
          </cell>
          <cell r="J878">
            <v>0</v>
          </cell>
          <cell r="K878">
            <v>0</v>
          </cell>
          <cell r="L878">
            <v>0</v>
          </cell>
          <cell r="M878">
            <v>0</v>
          </cell>
          <cell r="N878">
            <v>0</v>
          </cell>
          <cell r="O878">
            <v>0</v>
          </cell>
          <cell r="P878">
            <v>0</v>
          </cell>
          <cell r="Q878">
            <v>0</v>
          </cell>
          <cell r="R878">
            <v>1</v>
          </cell>
          <cell r="S878">
            <v>0</v>
          </cell>
        </row>
        <row r="879">
          <cell r="E879" t="str">
            <v>C129</v>
          </cell>
          <cell r="F879">
            <v>1</v>
          </cell>
          <cell r="G879">
            <v>1</v>
          </cell>
          <cell r="H879">
            <v>0</v>
          </cell>
          <cell r="I879">
            <v>0</v>
          </cell>
          <cell r="J879">
            <v>0</v>
          </cell>
          <cell r="K879">
            <v>0</v>
          </cell>
          <cell r="L879">
            <v>0</v>
          </cell>
          <cell r="M879">
            <v>0</v>
          </cell>
          <cell r="N879">
            <v>0</v>
          </cell>
          <cell r="O879">
            <v>0</v>
          </cell>
          <cell r="P879">
            <v>0</v>
          </cell>
          <cell r="Q879">
            <v>0</v>
          </cell>
          <cell r="R879">
            <v>1</v>
          </cell>
          <cell r="S879">
            <v>0</v>
          </cell>
        </row>
        <row r="880">
          <cell r="E880" t="str">
            <v>GP19</v>
          </cell>
          <cell r="F880">
            <v>1</v>
          </cell>
          <cell r="G880">
            <v>1</v>
          </cell>
          <cell r="H880">
            <v>0</v>
          </cell>
          <cell r="I880">
            <v>0</v>
          </cell>
          <cell r="J880">
            <v>0</v>
          </cell>
          <cell r="K880">
            <v>0</v>
          </cell>
          <cell r="L880">
            <v>0</v>
          </cell>
          <cell r="M880">
            <v>0</v>
          </cell>
          <cell r="N880">
            <v>0</v>
          </cell>
          <cell r="O880">
            <v>0</v>
          </cell>
          <cell r="P880">
            <v>0</v>
          </cell>
          <cell r="Q880">
            <v>0</v>
          </cell>
          <cell r="R880">
            <v>1</v>
          </cell>
          <cell r="S880">
            <v>0</v>
          </cell>
        </row>
        <row r="881">
          <cell r="E881" t="str">
            <v>DR19</v>
          </cell>
          <cell r="F881">
            <v>1</v>
          </cell>
          <cell r="G881">
            <v>1</v>
          </cell>
          <cell r="H881">
            <v>0</v>
          </cell>
          <cell r="I881">
            <v>0</v>
          </cell>
          <cell r="J881">
            <v>0</v>
          </cell>
          <cell r="K881">
            <v>0</v>
          </cell>
          <cell r="L881">
            <v>0</v>
          </cell>
          <cell r="M881">
            <v>0</v>
          </cell>
          <cell r="N881">
            <v>0</v>
          </cell>
          <cell r="O881">
            <v>0</v>
          </cell>
          <cell r="P881">
            <v>0</v>
          </cell>
          <cell r="Q881">
            <v>0</v>
          </cell>
          <cell r="R881">
            <v>1</v>
          </cell>
          <cell r="S881">
            <v>0</v>
          </cell>
        </row>
        <row r="884">
          <cell r="E884" t="str">
            <v>P229</v>
          </cell>
          <cell r="F884">
            <v>1</v>
          </cell>
          <cell r="G884">
            <v>1</v>
          </cell>
          <cell r="H884">
            <v>0</v>
          </cell>
          <cell r="I884">
            <v>0</v>
          </cell>
          <cell r="J884">
            <v>0</v>
          </cell>
          <cell r="K884">
            <v>0</v>
          </cell>
          <cell r="L884">
            <v>0</v>
          </cell>
          <cell r="M884">
            <v>0</v>
          </cell>
          <cell r="N884">
            <v>0</v>
          </cell>
          <cell r="O884">
            <v>0</v>
          </cell>
          <cell r="P884">
            <v>0</v>
          </cell>
          <cell r="Q884">
            <v>0</v>
          </cell>
          <cell r="R884">
            <v>1</v>
          </cell>
          <cell r="S884">
            <v>0</v>
          </cell>
        </row>
        <row r="885">
          <cell r="E885" t="str">
            <v>T229</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row>
        <row r="886">
          <cell r="E886" t="str">
            <v>PL49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D249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NT29</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row>
        <row r="889">
          <cell r="E889" t="str">
            <v>G229</v>
          </cell>
          <cell r="F889">
            <v>1</v>
          </cell>
          <cell r="G889">
            <v>1</v>
          </cell>
          <cell r="H889">
            <v>0</v>
          </cell>
          <cell r="I889">
            <v>0</v>
          </cell>
          <cell r="J889">
            <v>0</v>
          </cell>
          <cell r="K889">
            <v>0</v>
          </cell>
          <cell r="L889">
            <v>0</v>
          </cell>
          <cell r="M889">
            <v>0</v>
          </cell>
          <cell r="N889">
            <v>0</v>
          </cell>
          <cell r="O889">
            <v>0</v>
          </cell>
          <cell r="P889">
            <v>0</v>
          </cell>
          <cell r="Q889">
            <v>0</v>
          </cell>
          <cell r="R889">
            <v>1</v>
          </cell>
          <cell r="S889">
            <v>0</v>
          </cell>
        </row>
        <row r="890">
          <cell r="E890" t="str">
            <v>C229</v>
          </cell>
          <cell r="F890">
            <v>1</v>
          </cell>
          <cell r="G890">
            <v>1</v>
          </cell>
          <cell r="H890">
            <v>0</v>
          </cell>
          <cell r="I890">
            <v>0</v>
          </cell>
          <cell r="J890">
            <v>0</v>
          </cell>
          <cell r="K890">
            <v>0</v>
          </cell>
          <cell r="L890">
            <v>0</v>
          </cell>
          <cell r="M890">
            <v>0</v>
          </cell>
          <cell r="N890">
            <v>0</v>
          </cell>
          <cell r="O890">
            <v>0</v>
          </cell>
          <cell r="P890">
            <v>0</v>
          </cell>
          <cell r="Q890">
            <v>0</v>
          </cell>
          <cell r="R890">
            <v>1</v>
          </cell>
          <cell r="S890">
            <v>0</v>
          </cell>
        </row>
        <row r="891">
          <cell r="E891" t="str">
            <v>NP29</v>
          </cell>
          <cell r="F891">
            <v>1</v>
          </cell>
          <cell r="G891">
            <v>1</v>
          </cell>
          <cell r="H891">
            <v>0</v>
          </cell>
          <cell r="I891">
            <v>0</v>
          </cell>
          <cell r="J891">
            <v>0</v>
          </cell>
          <cell r="K891">
            <v>0</v>
          </cell>
          <cell r="L891">
            <v>0</v>
          </cell>
          <cell r="M891">
            <v>0</v>
          </cell>
          <cell r="N891">
            <v>0</v>
          </cell>
          <cell r="O891">
            <v>0</v>
          </cell>
          <cell r="P891">
            <v>0</v>
          </cell>
          <cell r="Q891">
            <v>0</v>
          </cell>
          <cell r="R891">
            <v>1</v>
          </cell>
          <cell r="S891">
            <v>0</v>
          </cell>
        </row>
        <row r="894">
          <cell r="E894" t="str">
            <v>W669</v>
          </cell>
          <cell r="F894">
            <v>1</v>
          </cell>
          <cell r="G894">
            <v>1</v>
          </cell>
          <cell r="H894">
            <v>0</v>
          </cell>
          <cell r="I894">
            <v>0</v>
          </cell>
          <cell r="J894">
            <v>0</v>
          </cell>
          <cell r="K894">
            <v>0</v>
          </cell>
          <cell r="L894">
            <v>0</v>
          </cell>
          <cell r="M894">
            <v>0</v>
          </cell>
          <cell r="N894">
            <v>0</v>
          </cell>
          <cell r="O894">
            <v>0</v>
          </cell>
          <cell r="P894">
            <v>0</v>
          </cell>
          <cell r="Q894">
            <v>0</v>
          </cell>
          <cell r="R894">
            <v>1</v>
          </cell>
          <cell r="S894">
            <v>0</v>
          </cell>
        </row>
        <row r="895">
          <cell r="E895" t="str">
            <v>W689</v>
          </cell>
          <cell r="F895">
            <v>1</v>
          </cell>
          <cell r="G895">
            <v>1</v>
          </cell>
          <cell r="H895">
            <v>0</v>
          </cell>
          <cell r="I895">
            <v>0</v>
          </cell>
          <cell r="J895">
            <v>0</v>
          </cell>
          <cell r="K895">
            <v>0</v>
          </cell>
          <cell r="L895">
            <v>0</v>
          </cell>
          <cell r="M895">
            <v>0</v>
          </cell>
          <cell r="N895">
            <v>0</v>
          </cell>
          <cell r="O895">
            <v>0</v>
          </cell>
          <cell r="P895">
            <v>0</v>
          </cell>
          <cell r="Q895">
            <v>0</v>
          </cell>
          <cell r="R895">
            <v>1</v>
          </cell>
          <cell r="S895">
            <v>0</v>
          </cell>
        </row>
        <row r="896">
          <cell r="E896" t="str">
            <v>W719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W749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WC79</v>
          </cell>
          <cell r="F898">
            <v>1</v>
          </cell>
          <cell r="G898">
            <v>1</v>
          </cell>
          <cell r="H898">
            <v>0</v>
          </cell>
          <cell r="I898">
            <v>0</v>
          </cell>
          <cell r="J898">
            <v>0</v>
          </cell>
          <cell r="K898">
            <v>0</v>
          </cell>
          <cell r="L898">
            <v>0</v>
          </cell>
          <cell r="M898">
            <v>0</v>
          </cell>
          <cell r="N898">
            <v>0</v>
          </cell>
          <cell r="O898">
            <v>0</v>
          </cell>
          <cell r="P898">
            <v>0</v>
          </cell>
          <cell r="Q898">
            <v>0</v>
          </cell>
          <cell r="R898">
            <v>1</v>
          </cell>
          <cell r="S898">
            <v>0</v>
          </cell>
        </row>
        <row r="901">
          <cell r="E901" t="str">
            <v>RB29</v>
          </cell>
          <cell r="F901">
            <v>1</v>
          </cell>
          <cell r="G901">
            <v>1</v>
          </cell>
          <cell r="H901">
            <v>0</v>
          </cell>
          <cell r="I901">
            <v>0</v>
          </cell>
          <cell r="J901">
            <v>0</v>
          </cell>
          <cell r="K901">
            <v>0</v>
          </cell>
          <cell r="L901">
            <v>0</v>
          </cell>
          <cell r="M901">
            <v>0</v>
          </cell>
          <cell r="N901">
            <v>0</v>
          </cell>
          <cell r="O901">
            <v>0</v>
          </cell>
          <cell r="P901">
            <v>0</v>
          </cell>
          <cell r="Q901">
            <v>0</v>
          </cell>
          <cell r="R901">
            <v>1</v>
          </cell>
          <cell r="S901">
            <v>0</v>
          </cell>
        </row>
        <row r="902">
          <cell r="E902" t="str">
            <v>RB99</v>
          </cell>
          <cell r="F902">
            <v>1</v>
          </cell>
          <cell r="G902">
            <v>1</v>
          </cell>
          <cell r="H902">
            <v>0</v>
          </cell>
          <cell r="I902">
            <v>0</v>
          </cell>
          <cell r="J902">
            <v>0</v>
          </cell>
          <cell r="K902">
            <v>0</v>
          </cell>
          <cell r="L902">
            <v>0</v>
          </cell>
          <cell r="M902">
            <v>0</v>
          </cell>
          <cell r="N902">
            <v>0</v>
          </cell>
          <cell r="O902">
            <v>0</v>
          </cell>
          <cell r="P902">
            <v>0</v>
          </cell>
          <cell r="Q902">
            <v>0</v>
          </cell>
          <cell r="R902">
            <v>1</v>
          </cell>
          <cell r="S902">
            <v>0</v>
          </cell>
        </row>
        <row r="903">
          <cell r="E903" t="str">
            <v>CW29</v>
          </cell>
          <cell r="F903">
            <v>1</v>
          </cell>
          <cell r="G903">
            <v>1</v>
          </cell>
          <cell r="H903">
            <v>0</v>
          </cell>
          <cell r="I903">
            <v>0</v>
          </cell>
          <cell r="J903">
            <v>0</v>
          </cell>
          <cell r="K903">
            <v>0</v>
          </cell>
          <cell r="L903">
            <v>0</v>
          </cell>
          <cell r="M903">
            <v>0</v>
          </cell>
          <cell r="N903">
            <v>0</v>
          </cell>
          <cell r="O903">
            <v>0</v>
          </cell>
          <cell r="P903">
            <v>0</v>
          </cell>
          <cell r="Q903">
            <v>0</v>
          </cell>
          <cell r="R903">
            <v>1</v>
          </cell>
          <cell r="S903">
            <v>0</v>
          </cell>
        </row>
        <row r="905">
          <cell r="R905" t="str">
            <v>FR-16(7)(v)-5</v>
          </cell>
        </row>
        <row r="906">
          <cell r="R906" t="str">
            <v>WITNESS RESPONSIBLE:</v>
          </cell>
        </row>
        <row r="907">
          <cell r="R907" t="str">
            <v>JAMES E. ZIOLKOWSKI</v>
          </cell>
        </row>
        <row r="908">
          <cell r="R908" t="str">
            <v>PAGE 18 OF 18</v>
          </cell>
        </row>
        <row r="911">
          <cell r="F911" t="str">
            <v>TOTAL</v>
          </cell>
          <cell r="H911" t="str">
            <v>DS</v>
          </cell>
          <cell r="I911" t="str">
            <v>GSFL</v>
          </cell>
          <cell r="J911" t="str">
            <v>EH</v>
          </cell>
          <cell r="K911" t="str">
            <v>SP</v>
          </cell>
          <cell r="L911" t="str">
            <v>DT SEC</v>
          </cell>
          <cell r="M911" t="str">
            <v>DT PRI</v>
          </cell>
          <cell r="N911" t="str">
            <v>DP</v>
          </cell>
          <cell r="O911" t="str">
            <v>TT</v>
          </cell>
          <cell r="Q911" t="str">
            <v>OTHER</v>
          </cell>
        </row>
        <row r="912">
          <cell r="F912" t="str">
            <v>PRODUCTION</v>
          </cell>
          <cell r="G912" t="str">
            <v>RS</v>
          </cell>
          <cell r="H912" t="str">
            <v>SECONDARY</v>
          </cell>
          <cell r="I912" t="str">
            <v>SECONDARY</v>
          </cell>
          <cell r="J912" t="str">
            <v>SECONDARY</v>
          </cell>
          <cell r="K912" t="str">
            <v>SECONDARY</v>
          </cell>
          <cell r="L912" t="str">
            <v>SECONDARY</v>
          </cell>
          <cell r="M912" t="str">
            <v>PRIMARY</v>
          </cell>
          <cell r="N912" t="str">
            <v>PRIMARY</v>
          </cell>
          <cell r="O912" t="str">
            <v>TRANSMISSION</v>
          </cell>
          <cell r="P912" t="str">
            <v>LT</v>
          </cell>
          <cell r="Q912" t="str">
            <v>WATER</v>
          </cell>
          <cell r="R912" t="str">
            <v>TOTAL</v>
          </cell>
          <cell r="S912" t="str">
            <v>ALL</v>
          </cell>
        </row>
        <row r="913">
          <cell r="E913" t="str">
            <v>ALLO</v>
          </cell>
          <cell r="F913" t="str">
            <v>CUSTOMER</v>
          </cell>
          <cell r="G913" t="str">
            <v>RESIDENTIAL</v>
          </cell>
          <cell r="H913" t="str">
            <v>DISTRIBUTION</v>
          </cell>
          <cell r="I913" t="str">
            <v>DISTRIBUTION</v>
          </cell>
          <cell r="J913" t="str">
            <v>DISTRIBUTION</v>
          </cell>
          <cell r="K913" t="str">
            <v>DISTRIBUTION</v>
          </cell>
          <cell r="L913" t="str">
            <v>DISTRIBUTION</v>
          </cell>
          <cell r="M913" t="str">
            <v>DISTRIBUTION</v>
          </cell>
          <cell r="N913" t="str">
            <v>DISTRIBUTION</v>
          </cell>
          <cell r="O913" t="str">
            <v>TIME OF DAY</v>
          </cell>
          <cell r="P913" t="str">
            <v>LIGHTING</v>
          </cell>
          <cell r="Q913" t="str">
            <v>PUMPING</v>
          </cell>
          <cell r="R913" t="str">
            <v>AT ISSUE</v>
          </cell>
          <cell r="S913" t="str">
            <v>OTHER</v>
          </cell>
        </row>
        <row r="914">
          <cell r="E914">
            <v>1</v>
          </cell>
          <cell r="G914">
            <v>3</v>
          </cell>
          <cell r="H914">
            <v>4</v>
          </cell>
          <cell r="I914">
            <v>5</v>
          </cell>
          <cell r="J914">
            <v>6</v>
          </cell>
          <cell r="K914">
            <v>7</v>
          </cell>
          <cell r="L914">
            <v>8</v>
          </cell>
          <cell r="M914">
            <v>9</v>
          </cell>
          <cell r="N914">
            <v>10</v>
          </cell>
          <cell r="O914">
            <v>11</v>
          </cell>
          <cell r="P914">
            <v>12</v>
          </cell>
          <cell r="Q914">
            <v>13</v>
          </cell>
          <cell r="S914" t="str">
            <v xml:space="preserve"> </v>
          </cell>
        </row>
        <row r="916">
          <cell r="E916" t="str">
            <v>P349</v>
          </cell>
          <cell r="F916">
            <v>1</v>
          </cell>
          <cell r="G916">
            <v>0</v>
          </cell>
          <cell r="H916">
            <v>0</v>
          </cell>
          <cell r="I916">
            <v>0</v>
          </cell>
          <cell r="J916">
            <v>0</v>
          </cell>
          <cell r="K916">
            <v>0</v>
          </cell>
          <cell r="L916">
            <v>0</v>
          </cell>
          <cell r="M916">
            <v>0</v>
          </cell>
          <cell r="N916">
            <v>0</v>
          </cell>
          <cell r="O916">
            <v>0</v>
          </cell>
          <cell r="P916">
            <v>0</v>
          </cell>
          <cell r="Q916">
            <v>0</v>
          </cell>
          <cell r="R916">
            <v>0</v>
          </cell>
          <cell r="S916">
            <v>1</v>
          </cell>
        </row>
        <row r="917">
          <cell r="E917" t="str">
            <v>E349</v>
          </cell>
          <cell r="F917">
            <v>1</v>
          </cell>
          <cell r="G917">
            <v>0</v>
          </cell>
          <cell r="H917">
            <v>0</v>
          </cell>
          <cell r="I917">
            <v>0</v>
          </cell>
          <cell r="J917">
            <v>0</v>
          </cell>
          <cell r="K917">
            <v>0</v>
          </cell>
          <cell r="L917">
            <v>0</v>
          </cell>
          <cell r="M917">
            <v>0</v>
          </cell>
          <cell r="N917">
            <v>0</v>
          </cell>
          <cell r="O917">
            <v>0</v>
          </cell>
          <cell r="P917">
            <v>0</v>
          </cell>
          <cell r="Q917">
            <v>0</v>
          </cell>
          <cell r="R917">
            <v>0</v>
          </cell>
          <cell r="S917">
            <v>1</v>
          </cell>
        </row>
        <row r="918">
          <cell r="E918" t="str">
            <v>P459</v>
          </cell>
          <cell r="F918">
            <v>1</v>
          </cell>
          <cell r="G918">
            <v>0</v>
          </cell>
          <cell r="H918">
            <v>0</v>
          </cell>
          <cell r="I918">
            <v>0</v>
          </cell>
          <cell r="J918">
            <v>0</v>
          </cell>
          <cell r="K918">
            <v>0</v>
          </cell>
          <cell r="L918">
            <v>0</v>
          </cell>
          <cell r="M918">
            <v>0</v>
          </cell>
          <cell r="N918">
            <v>0</v>
          </cell>
          <cell r="O918">
            <v>0</v>
          </cell>
          <cell r="P918">
            <v>0</v>
          </cell>
          <cell r="Q918">
            <v>0</v>
          </cell>
          <cell r="R918">
            <v>0</v>
          </cell>
          <cell r="S918">
            <v>1</v>
          </cell>
        </row>
        <row r="919">
          <cell r="E919" t="str">
            <v>T349</v>
          </cell>
          <cell r="F919">
            <v>1</v>
          </cell>
          <cell r="G919">
            <v>0</v>
          </cell>
          <cell r="H919">
            <v>0</v>
          </cell>
          <cell r="I919">
            <v>0</v>
          </cell>
          <cell r="J919">
            <v>0</v>
          </cell>
          <cell r="K919">
            <v>0</v>
          </cell>
          <cell r="L919">
            <v>0</v>
          </cell>
          <cell r="M919">
            <v>0</v>
          </cell>
          <cell r="N919">
            <v>0</v>
          </cell>
          <cell r="O919">
            <v>0</v>
          </cell>
          <cell r="P919">
            <v>0</v>
          </cell>
          <cell r="Q919">
            <v>0</v>
          </cell>
          <cell r="R919">
            <v>0</v>
          </cell>
          <cell r="S919">
            <v>1</v>
          </cell>
        </row>
        <row r="920">
          <cell r="E920" t="str">
            <v>D349</v>
          </cell>
          <cell r="F920">
            <v>1</v>
          </cell>
          <cell r="G920">
            <v>0</v>
          </cell>
          <cell r="H920">
            <v>0</v>
          </cell>
          <cell r="I920">
            <v>0</v>
          </cell>
          <cell r="J920">
            <v>0</v>
          </cell>
          <cell r="K920">
            <v>0</v>
          </cell>
          <cell r="L920">
            <v>0</v>
          </cell>
          <cell r="M920">
            <v>0</v>
          </cell>
          <cell r="N920">
            <v>0</v>
          </cell>
          <cell r="O920">
            <v>0</v>
          </cell>
          <cell r="P920">
            <v>0</v>
          </cell>
          <cell r="Q920">
            <v>0</v>
          </cell>
          <cell r="R920">
            <v>0</v>
          </cell>
          <cell r="S920">
            <v>1</v>
          </cell>
        </row>
        <row r="921">
          <cell r="E921" t="str">
            <v>C311</v>
          </cell>
          <cell r="F921">
            <v>1</v>
          </cell>
          <cell r="G921">
            <v>0</v>
          </cell>
          <cell r="H921">
            <v>0</v>
          </cell>
          <cell r="I921">
            <v>0</v>
          </cell>
          <cell r="J921">
            <v>0</v>
          </cell>
          <cell r="K921">
            <v>0</v>
          </cell>
          <cell r="L921">
            <v>0</v>
          </cell>
          <cell r="M921">
            <v>0</v>
          </cell>
          <cell r="N921">
            <v>0</v>
          </cell>
          <cell r="O921">
            <v>0</v>
          </cell>
          <cell r="P921">
            <v>0</v>
          </cell>
          <cell r="Q921">
            <v>0</v>
          </cell>
          <cell r="R921">
            <v>0</v>
          </cell>
          <cell r="S921">
            <v>1</v>
          </cell>
        </row>
        <row r="922">
          <cell r="E922" t="str">
            <v>C319</v>
          </cell>
          <cell r="F922">
            <v>1</v>
          </cell>
          <cell r="G922">
            <v>0</v>
          </cell>
          <cell r="H922">
            <v>0</v>
          </cell>
          <cell r="I922">
            <v>0</v>
          </cell>
          <cell r="J922">
            <v>0</v>
          </cell>
          <cell r="K922">
            <v>0</v>
          </cell>
          <cell r="L922">
            <v>0</v>
          </cell>
          <cell r="M922">
            <v>0</v>
          </cell>
          <cell r="N922">
            <v>0</v>
          </cell>
          <cell r="O922">
            <v>0</v>
          </cell>
          <cell r="P922">
            <v>0</v>
          </cell>
          <cell r="Q922">
            <v>0</v>
          </cell>
          <cell r="R922">
            <v>0</v>
          </cell>
          <cell r="S922">
            <v>1</v>
          </cell>
        </row>
        <row r="923">
          <cell r="E923" t="str">
            <v>C331</v>
          </cell>
          <cell r="F923">
            <v>1</v>
          </cell>
          <cell r="G923">
            <v>0</v>
          </cell>
          <cell r="H923">
            <v>0</v>
          </cell>
          <cell r="I923">
            <v>0</v>
          </cell>
          <cell r="J923">
            <v>0</v>
          </cell>
          <cell r="K923">
            <v>0</v>
          </cell>
          <cell r="L923">
            <v>0</v>
          </cell>
          <cell r="M923">
            <v>0</v>
          </cell>
          <cell r="N923">
            <v>0</v>
          </cell>
          <cell r="O923">
            <v>0</v>
          </cell>
          <cell r="P923">
            <v>0</v>
          </cell>
          <cell r="Q923">
            <v>0</v>
          </cell>
          <cell r="R923">
            <v>0</v>
          </cell>
          <cell r="S923">
            <v>1</v>
          </cell>
        </row>
        <row r="924">
          <cell r="E924" t="str">
            <v>S319</v>
          </cell>
          <cell r="F924">
            <v>1</v>
          </cell>
          <cell r="G924">
            <v>0</v>
          </cell>
          <cell r="H924">
            <v>0</v>
          </cell>
          <cell r="I924">
            <v>0</v>
          </cell>
          <cell r="J924">
            <v>0</v>
          </cell>
          <cell r="K924">
            <v>0</v>
          </cell>
          <cell r="L924">
            <v>0</v>
          </cell>
          <cell r="M924">
            <v>0</v>
          </cell>
          <cell r="N924">
            <v>0</v>
          </cell>
          <cell r="O924">
            <v>0</v>
          </cell>
          <cell r="P924">
            <v>0</v>
          </cell>
          <cell r="Q924">
            <v>0</v>
          </cell>
          <cell r="R924">
            <v>0</v>
          </cell>
          <cell r="S924">
            <v>1</v>
          </cell>
        </row>
        <row r="925">
          <cell r="E925" t="str">
            <v>OM39</v>
          </cell>
          <cell r="F925">
            <v>1</v>
          </cell>
          <cell r="G925">
            <v>0</v>
          </cell>
          <cell r="H925">
            <v>0</v>
          </cell>
          <cell r="I925">
            <v>0</v>
          </cell>
          <cell r="J925">
            <v>0</v>
          </cell>
          <cell r="K925">
            <v>0</v>
          </cell>
          <cell r="L925">
            <v>0</v>
          </cell>
          <cell r="M925">
            <v>0</v>
          </cell>
          <cell r="N925">
            <v>0</v>
          </cell>
          <cell r="O925">
            <v>0</v>
          </cell>
          <cell r="P925">
            <v>0</v>
          </cell>
          <cell r="Q925">
            <v>0</v>
          </cell>
          <cell r="R925">
            <v>0</v>
          </cell>
          <cell r="S925">
            <v>1</v>
          </cell>
        </row>
        <row r="928">
          <cell r="E928" t="str">
            <v>A300</v>
          </cell>
          <cell r="F928">
            <v>1</v>
          </cell>
          <cell r="G928">
            <v>0</v>
          </cell>
          <cell r="H928">
            <v>0</v>
          </cell>
          <cell r="I928">
            <v>0</v>
          </cell>
          <cell r="J928">
            <v>0</v>
          </cell>
          <cell r="K928">
            <v>0</v>
          </cell>
          <cell r="L928">
            <v>0</v>
          </cell>
          <cell r="M928">
            <v>0</v>
          </cell>
          <cell r="N928">
            <v>0</v>
          </cell>
          <cell r="O928">
            <v>0</v>
          </cell>
          <cell r="P928">
            <v>0</v>
          </cell>
          <cell r="Q928">
            <v>0</v>
          </cell>
          <cell r="R928">
            <v>0</v>
          </cell>
          <cell r="S928">
            <v>1</v>
          </cell>
        </row>
        <row r="929">
          <cell r="E929" t="str">
            <v>A302</v>
          </cell>
          <cell r="F929">
            <v>1</v>
          </cell>
          <cell r="G929">
            <v>0</v>
          </cell>
          <cell r="H929">
            <v>0</v>
          </cell>
          <cell r="I929">
            <v>0</v>
          </cell>
          <cell r="J929">
            <v>0</v>
          </cell>
          <cell r="K929">
            <v>0</v>
          </cell>
          <cell r="L929">
            <v>0</v>
          </cell>
          <cell r="M929">
            <v>0</v>
          </cell>
          <cell r="N929">
            <v>0</v>
          </cell>
          <cell r="O929">
            <v>0</v>
          </cell>
          <cell r="P929">
            <v>0</v>
          </cell>
          <cell r="Q929">
            <v>0</v>
          </cell>
          <cell r="R929">
            <v>0</v>
          </cell>
          <cell r="S929">
            <v>1</v>
          </cell>
        </row>
        <row r="930">
          <cell r="E930" t="str">
            <v>A304</v>
          </cell>
          <cell r="F930">
            <v>1</v>
          </cell>
          <cell r="G930">
            <v>0</v>
          </cell>
          <cell r="H930">
            <v>0</v>
          </cell>
          <cell r="I930">
            <v>0</v>
          </cell>
          <cell r="J930">
            <v>0</v>
          </cell>
          <cell r="K930">
            <v>0</v>
          </cell>
          <cell r="L930">
            <v>0</v>
          </cell>
          <cell r="M930">
            <v>0</v>
          </cell>
          <cell r="N930">
            <v>0</v>
          </cell>
          <cell r="O930">
            <v>0</v>
          </cell>
          <cell r="P930">
            <v>0</v>
          </cell>
          <cell r="Q930">
            <v>0</v>
          </cell>
          <cell r="R930">
            <v>0</v>
          </cell>
          <cell r="S930">
            <v>1</v>
          </cell>
        </row>
        <row r="931">
          <cell r="E931" t="str">
            <v>A306</v>
          </cell>
          <cell r="F931">
            <v>1</v>
          </cell>
          <cell r="G931">
            <v>0</v>
          </cell>
          <cell r="H931">
            <v>0</v>
          </cell>
          <cell r="I931">
            <v>0</v>
          </cell>
          <cell r="J931">
            <v>0</v>
          </cell>
          <cell r="K931">
            <v>0</v>
          </cell>
          <cell r="L931">
            <v>0</v>
          </cell>
          <cell r="M931">
            <v>0</v>
          </cell>
          <cell r="N931">
            <v>0</v>
          </cell>
          <cell r="O931">
            <v>0</v>
          </cell>
          <cell r="P931">
            <v>0</v>
          </cell>
          <cell r="Q931">
            <v>0</v>
          </cell>
          <cell r="R931">
            <v>0</v>
          </cell>
          <cell r="S931">
            <v>1</v>
          </cell>
        </row>
        <row r="932">
          <cell r="E932" t="str">
            <v>A308</v>
          </cell>
          <cell r="F932">
            <v>1</v>
          </cell>
          <cell r="G932">
            <v>0</v>
          </cell>
          <cell r="H932">
            <v>0</v>
          </cell>
          <cell r="I932">
            <v>0</v>
          </cell>
          <cell r="J932">
            <v>0</v>
          </cell>
          <cell r="K932">
            <v>0</v>
          </cell>
          <cell r="L932">
            <v>0</v>
          </cell>
          <cell r="M932">
            <v>0</v>
          </cell>
          <cell r="N932">
            <v>0</v>
          </cell>
          <cell r="O932">
            <v>0</v>
          </cell>
          <cell r="P932">
            <v>0</v>
          </cell>
          <cell r="Q932">
            <v>0</v>
          </cell>
          <cell r="R932">
            <v>0</v>
          </cell>
          <cell r="S932">
            <v>1</v>
          </cell>
        </row>
        <row r="933">
          <cell r="E933" t="str">
            <v>A310</v>
          </cell>
          <cell r="F933">
            <v>1</v>
          </cell>
          <cell r="G933">
            <v>0</v>
          </cell>
          <cell r="H933">
            <v>0</v>
          </cell>
          <cell r="I933">
            <v>0</v>
          </cell>
          <cell r="J933">
            <v>0</v>
          </cell>
          <cell r="K933">
            <v>0</v>
          </cell>
          <cell r="L933">
            <v>0</v>
          </cell>
          <cell r="M933">
            <v>0</v>
          </cell>
          <cell r="N933">
            <v>0</v>
          </cell>
          <cell r="O933">
            <v>0</v>
          </cell>
          <cell r="P933">
            <v>0</v>
          </cell>
          <cell r="Q933">
            <v>0</v>
          </cell>
          <cell r="R933">
            <v>0</v>
          </cell>
          <cell r="S933">
            <v>1</v>
          </cell>
        </row>
        <row r="934">
          <cell r="E934" t="str">
            <v>A312</v>
          </cell>
          <cell r="F934">
            <v>1</v>
          </cell>
          <cell r="G934">
            <v>0</v>
          </cell>
          <cell r="H934">
            <v>0</v>
          </cell>
          <cell r="I934">
            <v>0</v>
          </cell>
          <cell r="J934">
            <v>0</v>
          </cell>
          <cell r="K934">
            <v>0</v>
          </cell>
          <cell r="L934">
            <v>0</v>
          </cell>
          <cell r="M934">
            <v>0</v>
          </cell>
          <cell r="N934">
            <v>0</v>
          </cell>
          <cell r="O934">
            <v>0</v>
          </cell>
          <cell r="P934">
            <v>0</v>
          </cell>
          <cell r="Q934">
            <v>0</v>
          </cell>
          <cell r="R934">
            <v>0</v>
          </cell>
          <cell r="S934">
            <v>1</v>
          </cell>
        </row>
        <row r="935">
          <cell r="E935" t="str">
            <v>A315</v>
          </cell>
          <cell r="F935">
            <v>1</v>
          </cell>
          <cell r="G935">
            <v>0</v>
          </cell>
          <cell r="H935">
            <v>0</v>
          </cell>
          <cell r="I935">
            <v>0</v>
          </cell>
          <cell r="J935">
            <v>0</v>
          </cell>
          <cell r="K935">
            <v>0</v>
          </cell>
          <cell r="L935">
            <v>0</v>
          </cell>
          <cell r="M935">
            <v>0</v>
          </cell>
          <cell r="N935">
            <v>0</v>
          </cell>
          <cell r="O935">
            <v>0</v>
          </cell>
          <cell r="P935">
            <v>0</v>
          </cell>
          <cell r="Q935">
            <v>0</v>
          </cell>
          <cell r="R935">
            <v>0</v>
          </cell>
          <cell r="S935">
            <v>1</v>
          </cell>
        </row>
        <row r="936">
          <cell r="E936" t="str">
            <v>A357</v>
          </cell>
          <cell r="F936">
            <v>1</v>
          </cell>
          <cell r="G936">
            <v>0</v>
          </cell>
          <cell r="H936">
            <v>0</v>
          </cell>
          <cell r="I936">
            <v>0</v>
          </cell>
          <cell r="J936">
            <v>0</v>
          </cell>
          <cell r="K936">
            <v>0</v>
          </cell>
          <cell r="L936">
            <v>0</v>
          </cell>
          <cell r="M936">
            <v>0</v>
          </cell>
          <cell r="N936">
            <v>0</v>
          </cell>
          <cell r="O936">
            <v>0</v>
          </cell>
          <cell r="P936">
            <v>0</v>
          </cell>
          <cell r="Q936">
            <v>0</v>
          </cell>
          <cell r="R936">
            <v>0</v>
          </cell>
          <cell r="S936">
            <v>1</v>
          </cell>
        </row>
        <row r="939">
          <cell r="E939" t="str">
            <v>P489</v>
          </cell>
          <cell r="F939">
            <v>1</v>
          </cell>
          <cell r="G939">
            <v>0</v>
          </cell>
          <cell r="H939">
            <v>0</v>
          </cell>
          <cell r="I939">
            <v>0</v>
          </cell>
          <cell r="J939">
            <v>0</v>
          </cell>
          <cell r="K939">
            <v>0</v>
          </cell>
          <cell r="L939">
            <v>0</v>
          </cell>
          <cell r="M939">
            <v>0</v>
          </cell>
          <cell r="N939">
            <v>0</v>
          </cell>
          <cell r="O939">
            <v>0</v>
          </cell>
          <cell r="P939">
            <v>0</v>
          </cell>
          <cell r="Q939">
            <v>0</v>
          </cell>
          <cell r="R939">
            <v>0</v>
          </cell>
          <cell r="S939">
            <v>1</v>
          </cell>
        </row>
        <row r="940">
          <cell r="E940" t="str">
            <v>T489</v>
          </cell>
          <cell r="F940">
            <v>1</v>
          </cell>
          <cell r="G940">
            <v>0</v>
          </cell>
          <cell r="H940">
            <v>0</v>
          </cell>
          <cell r="I940">
            <v>0</v>
          </cell>
          <cell r="J940">
            <v>0</v>
          </cell>
          <cell r="K940">
            <v>0</v>
          </cell>
          <cell r="L940">
            <v>0</v>
          </cell>
          <cell r="M940">
            <v>0</v>
          </cell>
          <cell r="N940">
            <v>0</v>
          </cell>
          <cell r="O940">
            <v>0</v>
          </cell>
          <cell r="P940">
            <v>0</v>
          </cell>
          <cell r="Q940">
            <v>0</v>
          </cell>
          <cell r="R940">
            <v>0</v>
          </cell>
          <cell r="S940">
            <v>1</v>
          </cell>
        </row>
        <row r="941">
          <cell r="E941" t="str">
            <v>D489</v>
          </cell>
          <cell r="F941">
            <v>1</v>
          </cell>
          <cell r="G941">
            <v>0</v>
          </cell>
          <cell r="H941">
            <v>0</v>
          </cell>
          <cell r="I941">
            <v>0</v>
          </cell>
          <cell r="J941">
            <v>0</v>
          </cell>
          <cell r="K941">
            <v>0</v>
          </cell>
          <cell r="L941">
            <v>0</v>
          </cell>
          <cell r="M941">
            <v>0</v>
          </cell>
          <cell r="N941">
            <v>0</v>
          </cell>
          <cell r="O941">
            <v>0</v>
          </cell>
          <cell r="P941">
            <v>0</v>
          </cell>
          <cell r="Q941">
            <v>0</v>
          </cell>
          <cell r="R941">
            <v>0</v>
          </cell>
          <cell r="S941">
            <v>1</v>
          </cell>
        </row>
        <row r="942">
          <cell r="E942" t="str">
            <v>G489</v>
          </cell>
          <cell r="F942">
            <v>1</v>
          </cell>
          <cell r="G942">
            <v>0</v>
          </cell>
          <cell r="H942">
            <v>0</v>
          </cell>
          <cell r="I942">
            <v>0</v>
          </cell>
          <cell r="J942">
            <v>0</v>
          </cell>
          <cell r="K942">
            <v>0</v>
          </cell>
          <cell r="L942">
            <v>0</v>
          </cell>
          <cell r="M942">
            <v>0</v>
          </cell>
          <cell r="N942">
            <v>0</v>
          </cell>
          <cell r="O942">
            <v>0</v>
          </cell>
          <cell r="P942">
            <v>0</v>
          </cell>
          <cell r="Q942">
            <v>0</v>
          </cell>
          <cell r="R942">
            <v>0</v>
          </cell>
          <cell r="S942">
            <v>1</v>
          </cell>
        </row>
        <row r="943">
          <cell r="E943" t="str">
            <v>C489</v>
          </cell>
          <cell r="F943">
            <v>1</v>
          </cell>
          <cell r="G943">
            <v>0</v>
          </cell>
          <cell r="H943">
            <v>0</v>
          </cell>
          <cell r="I943">
            <v>0</v>
          </cell>
          <cell r="J943">
            <v>0</v>
          </cell>
          <cell r="K943">
            <v>0</v>
          </cell>
          <cell r="L943">
            <v>0</v>
          </cell>
          <cell r="M943">
            <v>0</v>
          </cell>
          <cell r="N943">
            <v>0</v>
          </cell>
          <cell r="O943">
            <v>0</v>
          </cell>
          <cell r="P943">
            <v>0</v>
          </cell>
          <cell r="Q943">
            <v>0</v>
          </cell>
          <cell r="R943">
            <v>0</v>
          </cell>
          <cell r="S943">
            <v>1</v>
          </cell>
        </row>
        <row r="944">
          <cell r="E944" t="str">
            <v>DE49</v>
          </cell>
          <cell r="F944">
            <v>1</v>
          </cell>
          <cell r="G944">
            <v>0</v>
          </cell>
          <cell r="H944">
            <v>0</v>
          </cell>
          <cell r="I944">
            <v>0</v>
          </cell>
          <cell r="J944">
            <v>0</v>
          </cell>
          <cell r="K944">
            <v>0</v>
          </cell>
          <cell r="L944">
            <v>0</v>
          </cell>
          <cell r="M944">
            <v>0</v>
          </cell>
          <cell r="N944">
            <v>0</v>
          </cell>
          <cell r="O944">
            <v>0</v>
          </cell>
          <cell r="P944">
            <v>0</v>
          </cell>
          <cell r="Q944">
            <v>0</v>
          </cell>
          <cell r="R944">
            <v>0</v>
          </cell>
          <cell r="S944">
            <v>1</v>
          </cell>
        </row>
        <row r="947">
          <cell r="E947" t="str">
            <v>L529</v>
          </cell>
          <cell r="F947">
            <v>1</v>
          </cell>
          <cell r="G947">
            <v>0</v>
          </cell>
          <cell r="H947">
            <v>0</v>
          </cell>
          <cell r="I947">
            <v>0</v>
          </cell>
          <cell r="J947">
            <v>0</v>
          </cell>
          <cell r="K947">
            <v>0</v>
          </cell>
          <cell r="L947">
            <v>0</v>
          </cell>
          <cell r="M947">
            <v>0</v>
          </cell>
          <cell r="N947">
            <v>0</v>
          </cell>
          <cell r="O947">
            <v>0</v>
          </cell>
          <cell r="P947">
            <v>0</v>
          </cell>
          <cell r="Q947">
            <v>0</v>
          </cell>
          <cell r="R947">
            <v>0</v>
          </cell>
          <cell r="S947">
            <v>1</v>
          </cell>
        </row>
        <row r="948">
          <cell r="E948" t="str">
            <v>L589</v>
          </cell>
          <cell r="F948">
            <v>1</v>
          </cell>
          <cell r="G948">
            <v>0</v>
          </cell>
          <cell r="H948">
            <v>0</v>
          </cell>
          <cell r="I948">
            <v>0</v>
          </cell>
          <cell r="J948">
            <v>0</v>
          </cell>
          <cell r="K948">
            <v>0</v>
          </cell>
          <cell r="L948">
            <v>0</v>
          </cell>
          <cell r="M948">
            <v>0</v>
          </cell>
          <cell r="N948">
            <v>0</v>
          </cell>
          <cell r="O948">
            <v>0</v>
          </cell>
          <cell r="P948">
            <v>0</v>
          </cell>
          <cell r="Q948">
            <v>0</v>
          </cell>
          <cell r="R948">
            <v>0</v>
          </cell>
          <cell r="S948">
            <v>1</v>
          </cell>
        </row>
        <row r="949">
          <cell r="E949" t="str">
            <v>L599</v>
          </cell>
          <cell r="F949">
            <v>1</v>
          </cell>
          <cell r="G949">
            <v>0</v>
          </cell>
          <cell r="H949">
            <v>0</v>
          </cell>
          <cell r="I949">
            <v>0</v>
          </cell>
          <cell r="J949">
            <v>0</v>
          </cell>
          <cell r="K949">
            <v>0</v>
          </cell>
          <cell r="L949">
            <v>0</v>
          </cell>
          <cell r="M949">
            <v>0</v>
          </cell>
          <cell r="N949">
            <v>0</v>
          </cell>
          <cell r="O949">
            <v>0</v>
          </cell>
          <cell r="P949">
            <v>0</v>
          </cell>
          <cell r="Q949">
            <v>0</v>
          </cell>
          <cell r="R949">
            <v>0</v>
          </cell>
          <cell r="S949">
            <v>1</v>
          </cell>
        </row>
        <row r="950">
          <cell r="E950" t="str">
            <v>OP69</v>
          </cell>
          <cell r="F950">
            <v>1</v>
          </cell>
          <cell r="G950">
            <v>0</v>
          </cell>
          <cell r="H950">
            <v>0</v>
          </cell>
          <cell r="I950">
            <v>0</v>
          </cell>
          <cell r="J950">
            <v>0</v>
          </cell>
          <cell r="K950">
            <v>0</v>
          </cell>
          <cell r="L950">
            <v>0</v>
          </cell>
          <cell r="M950">
            <v>0</v>
          </cell>
          <cell r="N950">
            <v>0</v>
          </cell>
          <cell r="O950">
            <v>0</v>
          </cell>
          <cell r="P950">
            <v>0</v>
          </cell>
          <cell r="Q950">
            <v>0</v>
          </cell>
          <cell r="R950">
            <v>0</v>
          </cell>
          <cell r="S950">
            <v>1</v>
          </cell>
        </row>
        <row r="953">
          <cell r="E953" t="str">
            <v>CS09</v>
          </cell>
          <cell r="F953">
            <v>1</v>
          </cell>
          <cell r="G953">
            <v>0</v>
          </cell>
          <cell r="H953">
            <v>0</v>
          </cell>
          <cell r="I953">
            <v>0</v>
          </cell>
          <cell r="J953">
            <v>0</v>
          </cell>
          <cell r="K953">
            <v>0</v>
          </cell>
          <cell r="L953">
            <v>0</v>
          </cell>
          <cell r="M953">
            <v>0</v>
          </cell>
          <cell r="N953">
            <v>0</v>
          </cell>
          <cell r="O953">
            <v>0</v>
          </cell>
          <cell r="P953">
            <v>0</v>
          </cell>
          <cell r="Q953">
            <v>0</v>
          </cell>
          <cell r="R953">
            <v>0</v>
          </cell>
          <cell r="S953">
            <v>1</v>
          </cell>
        </row>
      </sheetData>
      <sheetData sheetId="8">
        <row r="814">
          <cell r="F814">
            <v>710084</v>
          </cell>
          <cell r="G814">
            <v>710084</v>
          </cell>
          <cell r="H814">
            <v>0</v>
          </cell>
          <cell r="I814">
            <v>0</v>
          </cell>
        </row>
        <row r="815">
          <cell r="E815" t="str">
            <v>K201</v>
          </cell>
          <cell r="F815">
            <v>1</v>
          </cell>
          <cell r="G815">
            <v>1</v>
          </cell>
          <cell r="H815">
            <v>0</v>
          </cell>
          <cell r="I815">
            <v>0</v>
          </cell>
        </row>
        <row r="816">
          <cell r="F816">
            <v>710084</v>
          </cell>
          <cell r="G816">
            <v>710084</v>
          </cell>
          <cell r="H816">
            <v>0</v>
          </cell>
          <cell r="I816">
            <v>0</v>
          </cell>
        </row>
        <row r="817">
          <cell r="E817" t="str">
            <v>K202</v>
          </cell>
          <cell r="F817">
            <v>1</v>
          </cell>
          <cell r="G817">
            <v>1</v>
          </cell>
          <cell r="H817">
            <v>0</v>
          </cell>
          <cell r="I817">
            <v>0</v>
          </cell>
        </row>
        <row r="818">
          <cell r="F818">
            <v>1503360</v>
          </cell>
          <cell r="G818">
            <v>1503360</v>
          </cell>
          <cell r="H818">
            <v>0</v>
          </cell>
          <cell r="I818">
            <v>0</v>
          </cell>
        </row>
        <row r="819">
          <cell r="E819" t="str">
            <v>K203</v>
          </cell>
          <cell r="F819">
            <v>1</v>
          </cell>
          <cell r="G819">
            <v>1</v>
          </cell>
          <cell r="H819">
            <v>0</v>
          </cell>
          <cell r="I819">
            <v>0</v>
          </cell>
        </row>
        <row r="820">
          <cell r="F820">
            <v>717613</v>
          </cell>
          <cell r="G820">
            <v>717613</v>
          </cell>
          <cell r="H820">
            <v>0</v>
          </cell>
          <cell r="I820">
            <v>0</v>
          </cell>
        </row>
        <row r="821">
          <cell r="E821" t="str">
            <v>K205</v>
          </cell>
          <cell r="F821">
            <v>1</v>
          </cell>
          <cell r="G821">
            <v>1</v>
          </cell>
          <cell r="H821">
            <v>0</v>
          </cell>
          <cell r="I821">
            <v>0</v>
          </cell>
        </row>
        <row r="822">
          <cell r="F822">
            <v>717613</v>
          </cell>
          <cell r="G822">
            <v>717613</v>
          </cell>
          <cell r="H822">
            <v>0</v>
          </cell>
          <cell r="I822">
            <v>0</v>
          </cell>
        </row>
        <row r="823">
          <cell r="E823" t="str">
            <v>K206</v>
          </cell>
          <cell r="F823">
            <v>1</v>
          </cell>
          <cell r="G823">
            <v>1</v>
          </cell>
          <cell r="H823">
            <v>0</v>
          </cell>
          <cell r="I823">
            <v>0</v>
          </cell>
        </row>
        <row r="824">
          <cell r="F824">
            <v>59521</v>
          </cell>
          <cell r="G824">
            <v>0</v>
          </cell>
          <cell r="H824">
            <v>0</v>
          </cell>
          <cell r="I824">
            <v>59521</v>
          </cell>
        </row>
        <row r="825">
          <cell r="E825" t="str">
            <v>K209</v>
          </cell>
          <cell r="F825">
            <v>1</v>
          </cell>
          <cell r="G825">
            <v>0</v>
          </cell>
          <cell r="H825">
            <v>0</v>
          </cell>
          <cell r="I825">
            <v>1</v>
          </cell>
        </row>
        <row r="826">
          <cell r="F826">
            <v>717613</v>
          </cell>
          <cell r="G826">
            <v>717613</v>
          </cell>
          <cell r="H826">
            <v>0</v>
          </cell>
          <cell r="I826">
            <v>0</v>
          </cell>
        </row>
        <row r="827">
          <cell r="E827" t="str">
            <v>K215</v>
          </cell>
          <cell r="F827">
            <v>1</v>
          </cell>
          <cell r="G827">
            <v>1</v>
          </cell>
          <cell r="H827">
            <v>0</v>
          </cell>
          <cell r="I827">
            <v>0</v>
          </cell>
        </row>
        <row r="828">
          <cell r="F828">
            <v>141934</v>
          </cell>
          <cell r="G828">
            <v>0</v>
          </cell>
          <cell r="H828">
            <v>0</v>
          </cell>
          <cell r="I828">
            <v>141934</v>
          </cell>
        </row>
        <row r="829">
          <cell r="E829" t="str">
            <v>K217</v>
          </cell>
          <cell r="F829">
            <v>1</v>
          </cell>
          <cell r="G829">
            <v>0</v>
          </cell>
          <cell r="H829">
            <v>0</v>
          </cell>
          <cell r="I829">
            <v>1</v>
          </cell>
        </row>
        <row r="830">
          <cell r="F830">
            <v>4196163573</v>
          </cell>
          <cell r="G830">
            <v>0</v>
          </cell>
          <cell r="H830">
            <v>4196163573</v>
          </cell>
          <cell r="I830">
            <v>0</v>
          </cell>
        </row>
        <row r="831">
          <cell r="E831" t="str">
            <v>K301</v>
          </cell>
          <cell r="F831">
            <v>1</v>
          </cell>
          <cell r="G831">
            <v>0</v>
          </cell>
          <cell r="H831">
            <v>1</v>
          </cell>
          <cell r="I831">
            <v>0</v>
          </cell>
        </row>
        <row r="832">
          <cell r="F832">
            <v>4196163573</v>
          </cell>
          <cell r="G832">
            <v>0</v>
          </cell>
          <cell r="H832">
            <v>4196163573</v>
          </cell>
          <cell r="I832">
            <v>0</v>
          </cell>
        </row>
        <row r="833">
          <cell r="E833" t="str">
            <v>K303</v>
          </cell>
          <cell r="F833">
            <v>1</v>
          </cell>
          <cell r="G833">
            <v>0</v>
          </cell>
          <cell r="H833">
            <v>1</v>
          </cell>
          <cell r="I833">
            <v>0</v>
          </cell>
        </row>
        <row r="834">
          <cell r="F834">
            <v>4176422231</v>
          </cell>
          <cell r="G834">
            <v>0</v>
          </cell>
          <cell r="H834">
            <v>4176422231</v>
          </cell>
          <cell r="I834">
            <v>0</v>
          </cell>
        </row>
        <row r="835">
          <cell r="E835" t="str">
            <v>K305</v>
          </cell>
          <cell r="F835">
            <v>1</v>
          </cell>
          <cell r="G835">
            <v>0</v>
          </cell>
          <cell r="H835">
            <v>1</v>
          </cell>
          <cell r="I835">
            <v>0</v>
          </cell>
        </row>
        <row r="836">
          <cell r="F836">
            <v>1</v>
          </cell>
          <cell r="G836">
            <v>1</v>
          </cell>
          <cell r="H836">
            <v>0</v>
          </cell>
          <cell r="I836">
            <v>0</v>
          </cell>
        </row>
        <row r="837">
          <cell r="E837" t="str">
            <v>K307</v>
          </cell>
          <cell r="F837">
            <v>1</v>
          </cell>
          <cell r="G837">
            <v>1</v>
          </cell>
          <cell r="H837">
            <v>0</v>
          </cell>
          <cell r="I837">
            <v>0</v>
          </cell>
        </row>
        <row r="838">
          <cell r="F838">
            <v>1</v>
          </cell>
          <cell r="G838">
            <v>1</v>
          </cell>
          <cell r="H838">
            <v>0</v>
          </cell>
          <cell r="I838">
            <v>0</v>
          </cell>
        </row>
        <row r="839">
          <cell r="E839" t="str">
            <v>K401</v>
          </cell>
          <cell r="F839">
            <v>1</v>
          </cell>
          <cell r="G839">
            <v>1</v>
          </cell>
          <cell r="H839">
            <v>0</v>
          </cell>
          <cell r="I839">
            <v>0</v>
          </cell>
        </row>
        <row r="840">
          <cell r="F840">
            <v>140014</v>
          </cell>
          <cell r="G840">
            <v>0</v>
          </cell>
          <cell r="H840">
            <v>0</v>
          </cell>
          <cell r="I840">
            <v>140014</v>
          </cell>
        </row>
        <row r="841">
          <cell r="E841" t="str">
            <v>K405</v>
          </cell>
          <cell r="F841">
            <v>1</v>
          </cell>
          <cell r="G841">
            <v>0</v>
          </cell>
          <cell r="H841">
            <v>0</v>
          </cell>
          <cell r="I841">
            <v>1</v>
          </cell>
        </row>
        <row r="842">
          <cell r="F842">
            <v>6350638</v>
          </cell>
          <cell r="G842">
            <v>0</v>
          </cell>
          <cell r="H842">
            <v>0</v>
          </cell>
          <cell r="I842">
            <v>6350638</v>
          </cell>
        </row>
        <row r="843">
          <cell r="E843" t="str">
            <v>K407</v>
          </cell>
          <cell r="F843">
            <v>1</v>
          </cell>
          <cell r="G843">
            <v>0</v>
          </cell>
          <cell r="H843">
            <v>0</v>
          </cell>
          <cell r="I843">
            <v>1</v>
          </cell>
        </row>
        <row r="844">
          <cell r="F844">
            <v>243058</v>
          </cell>
          <cell r="G844">
            <v>0</v>
          </cell>
          <cell r="H844">
            <v>0</v>
          </cell>
          <cell r="I844">
            <v>243058</v>
          </cell>
        </row>
        <row r="845">
          <cell r="E845" t="str">
            <v>K409</v>
          </cell>
          <cell r="F845">
            <v>1</v>
          </cell>
          <cell r="G845">
            <v>0</v>
          </cell>
          <cell r="H845">
            <v>0</v>
          </cell>
          <cell r="I845">
            <v>1</v>
          </cell>
        </row>
        <row r="846">
          <cell r="F846">
            <v>1498164.3299999998</v>
          </cell>
          <cell r="G846">
            <v>0</v>
          </cell>
          <cell r="H846">
            <v>0</v>
          </cell>
          <cell r="I846">
            <v>1498164.3299999998</v>
          </cell>
        </row>
        <row r="847">
          <cell r="E847" t="str">
            <v>K411</v>
          </cell>
          <cell r="F847">
            <v>1</v>
          </cell>
          <cell r="G847">
            <v>0</v>
          </cell>
          <cell r="H847">
            <v>0</v>
          </cell>
          <cell r="I847">
            <v>1</v>
          </cell>
        </row>
        <row r="848">
          <cell r="F848">
            <v>4178319049</v>
          </cell>
          <cell r="G848">
            <v>0</v>
          </cell>
          <cell r="H848">
            <v>4178319049</v>
          </cell>
          <cell r="I848">
            <v>0</v>
          </cell>
        </row>
        <row r="849">
          <cell r="E849" t="str">
            <v>K302</v>
          </cell>
          <cell r="F849">
            <v>1</v>
          </cell>
          <cell r="G849">
            <v>0</v>
          </cell>
          <cell r="H849">
            <v>1</v>
          </cell>
          <cell r="I849">
            <v>0</v>
          </cell>
        </row>
        <row r="851">
          <cell r="E851" t="str">
            <v>R600</v>
          </cell>
          <cell r="F851">
            <v>24321663</v>
          </cell>
          <cell r="G851">
            <v>24303835</v>
          </cell>
          <cell r="H851">
            <v>0</v>
          </cell>
          <cell r="I851">
            <v>17828</v>
          </cell>
        </row>
        <row r="852">
          <cell r="E852" t="str">
            <v>R602</v>
          </cell>
          <cell r="F852">
            <v>16082930</v>
          </cell>
          <cell r="G852">
            <v>16015382</v>
          </cell>
          <cell r="H852">
            <v>0</v>
          </cell>
          <cell r="I852">
            <v>67548</v>
          </cell>
        </row>
        <row r="861">
          <cell r="F861" t="str">
            <v>TOTAL</v>
          </cell>
          <cell r="G861" t="str">
            <v>CLASSIFIED</v>
          </cell>
        </row>
        <row r="862">
          <cell r="E862" t="str">
            <v>ALLO</v>
          </cell>
          <cell r="F862" t="str">
            <v>TRANSMISSION</v>
          </cell>
          <cell r="G862" t="str">
            <v>DEMAND</v>
          </cell>
          <cell r="H862" t="str">
            <v>ENERGY</v>
          </cell>
          <cell r="I862" t="str">
            <v>CUSTOMER</v>
          </cell>
        </row>
        <row r="863">
          <cell r="E863">
            <v>1</v>
          </cell>
          <cell r="F863">
            <v>2</v>
          </cell>
          <cell r="G863">
            <v>3</v>
          </cell>
          <cell r="H863">
            <v>4</v>
          </cell>
          <cell r="I863">
            <v>5</v>
          </cell>
        </row>
        <row r="865">
          <cell r="F865">
            <v>24321663</v>
          </cell>
          <cell r="G865">
            <v>24303835</v>
          </cell>
          <cell r="H865">
            <v>0</v>
          </cell>
          <cell r="I865">
            <v>17828</v>
          </cell>
        </row>
        <row r="866">
          <cell r="E866" t="str">
            <v>K901</v>
          </cell>
          <cell r="F866">
            <v>1</v>
          </cell>
          <cell r="G866">
            <v>0.99926999999999999</v>
          </cell>
          <cell r="H866">
            <v>0</v>
          </cell>
          <cell r="I866">
            <v>7.2999999999999996E-4</v>
          </cell>
        </row>
        <row r="867">
          <cell r="F867">
            <v>16082930</v>
          </cell>
          <cell r="G867">
            <v>16015382</v>
          </cell>
          <cell r="H867">
            <v>0</v>
          </cell>
          <cell r="I867">
            <v>67548</v>
          </cell>
        </row>
        <row r="868">
          <cell r="E868" t="str">
            <v>K902</v>
          </cell>
          <cell r="F868">
            <v>1</v>
          </cell>
          <cell r="G868">
            <v>0.99580000000000002</v>
          </cell>
          <cell r="H868">
            <v>0</v>
          </cell>
          <cell r="I868">
            <v>4.1799999999999997E-3</v>
          </cell>
        </row>
        <row r="872">
          <cell r="E872" t="str">
            <v>P129</v>
          </cell>
          <cell r="F872">
            <v>0</v>
          </cell>
          <cell r="G872">
            <v>0</v>
          </cell>
          <cell r="H872">
            <v>0</v>
          </cell>
          <cell r="I872">
            <v>0</v>
          </cell>
        </row>
        <row r="873">
          <cell r="E873" t="str">
            <v>T129</v>
          </cell>
          <cell r="F873">
            <v>1</v>
          </cell>
          <cell r="G873">
            <v>1</v>
          </cell>
          <cell r="H873">
            <v>0</v>
          </cell>
          <cell r="I873">
            <v>0</v>
          </cell>
        </row>
        <row r="874">
          <cell r="E874" t="str">
            <v>PT29</v>
          </cell>
          <cell r="F874">
            <v>1</v>
          </cell>
          <cell r="G874">
            <v>1</v>
          </cell>
          <cell r="H874">
            <v>0</v>
          </cell>
          <cell r="I874">
            <v>0</v>
          </cell>
        </row>
        <row r="875">
          <cell r="E875" t="str">
            <v>D149</v>
          </cell>
          <cell r="F875">
            <v>0</v>
          </cell>
          <cell r="G875">
            <v>0</v>
          </cell>
          <cell r="H875">
            <v>0</v>
          </cell>
          <cell r="I875">
            <v>1</v>
          </cell>
        </row>
        <row r="876">
          <cell r="E876" t="str">
            <v>TD29</v>
          </cell>
          <cell r="F876">
            <v>1</v>
          </cell>
          <cell r="G876">
            <v>0.99900999999999995</v>
          </cell>
          <cell r="H876">
            <v>0</v>
          </cell>
          <cell r="I876">
            <v>9.8999999999999999E-4</v>
          </cell>
        </row>
        <row r="877">
          <cell r="E877" t="str">
            <v>PD29</v>
          </cell>
          <cell r="F877">
            <v>1</v>
          </cell>
          <cell r="G877">
            <v>0.99611000000000005</v>
          </cell>
          <cell r="H877">
            <v>0</v>
          </cell>
          <cell r="I877">
            <v>3.8899999999999998E-3</v>
          </cell>
        </row>
        <row r="878">
          <cell r="E878" t="str">
            <v>G129</v>
          </cell>
          <cell r="F878">
            <v>1</v>
          </cell>
          <cell r="G878">
            <v>0.99611000000000005</v>
          </cell>
          <cell r="H878">
            <v>0</v>
          </cell>
          <cell r="I878">
            <v>3.8899999999999998E-3</v>
          </cell>
        </row>
        <row r="879">
          <cell r="E879" t="str">
            <v>C129</v>
          </cell>
          <cell r="F879">
            <v>1</v>
          </cell>
          <cell r="G879">
            <v>0.99887999999999999</v>
          </cell>
          <cell r="H879">
            <v>0</v>
          </cell>
          <cell r="I879">
            <v>1.1199999999999999E-3</v>
          </cell>
        </row>
        <row r="880">
          <cell r="E880" t="str">
            <v>GP19</v>
          </cell>
          <cell r="F880">
            <v>0</v>
          </cell>
          <cell r="G880">
            <v>0</v>
          </cell>
          <cell r="H880">
            <v>0</v>
          </cell>
          <cell r="I880">
            <v>1</v>
          </cell>
        </row>
        <row r="881">
          <cell r="E881" t="str">
            <v>DR19</v>
          </cell>
          <cell r="F881">
            <v>1</v>
          </cell>
          <cell r="G881">
            <v>0.99946000000000002</v>
          </cell>
          <cell r="H881">
            <v>0</v>
          </cell>
          <cell r="I881">
            <v>5.4000000000000001E-4</v>
          </cell>
        </row>
        <row r="884">
          <cell r="E884" t="str">
            <v>P229</v>
          </cell>
          <cell r="F884">
            <v>0</v>
          </cell>
          <cell r="G884">
            <v>0</v>
          </cell>
          <cell r="H884">
            <v>0</v>
          </cell>
          <cell r="I884">
            <v>0</v>
          </cell>
        </row>
        <row r="885">
          <cell r="E885" t="str">
            <v>T229</v>
          </cell>
          <cell r="F885">
            <v>1</v>
          </cell>
          <cell r="G885">
            <v>1</v>
          </cell>
          <cell r="H885">
            <v>0</v>
          </cell>
          <cell r="I885">
            <v>0</v>
          </cell>
        </row>
        <row r="886">
          <cell r="E886" t="str">
            <v>PL49</v>
          </cell>
          <cell r="F886">
            <v>0</v>
          </cell>
          <cell r="G886">
            <v>0</v>
          </cell>
          <cell r="H886">
            <v>0</v>
          </cell>
          <cell r="I886">
            <v>0</v>
          </cell>
        </row>
        <row r="887">
          <cell r="E887" t="str">
            <v>D249</v>
          </cell>
          <cell r="F887">
            <v>0</v>
          </cell>
          <cell r="G887">
            <v>0</v>
          </cell>
          <cell r="H887">
            <v>0</v>
          </cell>
          <cell r="I887">
            <v>1</v>
          </cell>
        </row>
        <row r="888">
          <cell r="E888" t="str">
            <v>NT29</v>
          </cell>
          <cell r="F888">
            <v>1</v>
          </cell>
          <cell r="G888">
            <v>0.99865999999999999</v>
          </cell>
          <cell r="H888">
            <v>0</v>
          </cell>
          <cell r="I888">
            <v>1.34E-3</v>
          </cell>
        </row>
        <row r="889">
          <cell r="E889" t="str">
            <v>G229</v>
          </cell>
          <cell r="F889">
            <v>1</v>
          </cell>
          <cell r="G889">
            <v>0.99605999999999995</v>
          </cell>
          <cell r="H889">
            <v>0</v>
          </cell>
          <cell r="I889">
            <v>3.9399999999999999E-3</v>
          </cell>
        </row>
        <row r="890">
          <cell r="E890" t="str">
            <v>C229</v>
          </cell>
          <cell r="F890">
            <v>1</v>
          </cell>
          <cell r="G890">
            <v>0.99604000000000004</v>
          </cell>
          <cell r="H890">
            <v>0</v>
          </cell>
          <cell r="I890">
            <v>3.96E-3</v>
          </cell>
        </row>
        <row r="891">
          <cell r="E891" t="str">
            <v>NP29</v>
          </cell>
          <cell r="F891">
            <v>1</v>
          </cell>
          <cell r="G891">
            <v>0.99861</v>
          </cell>
          <cell r="H891">
            <v>0</v>
          </cell>
          <cell r="I891">
            <v>1.39E-3</v>
          </cell>
        </row>
        <row r="894">
          <cell r="E894" t="str">
            <v>W669</v>
          </cell>
          <cell r="F894">
            <v>1</v>
          </cell>
          <cell r="G894">
            <v>0.99611000000000005</v>
          </cell>
          <cell r="H894">
            <v>0</v>
          </cell>
          <cell r="I894">
            <v>3.8899999999999998E-3</v>
          </cell>
        </row>
        <row r="895">
          <cell r="E895" t="str">
            <v>W689</v>
          </cell>
          <cell r="F895">
            <v>1</v>
          </cell>
          <cell r="G895">
            <v>0</v>
          </cell>
          <cell r="H895">
            <v>0</v>
          </cell>
          <cell r="I895">
            <v>0</v>
          </cell>
        </row>
        <row r="896">
          <cell r="E896" t="str">
            <v>W719</v>
          </cell>
          <cell r="F896">
            <v>1</v>
          </cell>
          <cell r="G896">
            <v>0</v>
          </cell>
          <cell r="H896">
            <v>0</v>
          </cell>
          <cell r="I896">
            <v>0</v>
          </cell>
        </row>
        <row r="897">
          <cell r="E897" t="str">
            <v>W749</v>
          </cell>
          <cell r="F897">
            <v>1</v>
          </cell>
          <cell r="G897">
            <v>0</v>
          </cell>
          <cell r="H897">
            <v>0</v>
          </cell>
          <cell r="I897">
            <v>0</v>
          </cell>
        </row>
        <row r="898">
          <cell r="E898" t="str">
            <v>WC79</v>
          </cell>
          <cell r="F898">
            <v>1</v>
          </cell>
          <cell r="G898">
            <v>0.99611000000000005</v>
          </cell>
          <cell r="H898">
            <v>0</v>
          </cell>
          <cell r="I898">
            <v>3.8899999999999998E-3</v>
          </cell>
        </row>
        <row r="901">
          <cell r="E901" t="str">
            <v>RB29</v>
          </cell>
          <cell r="F901">
            <v>1</v>
          </cell>
          <cell r="G901">
            <v>0.99880000000000002</v>
          </cell>
          <cell r="H901">
            <v>0</v>
          </cell>
          <cell r="I901">
            <v>1.1999999999999999E-3</v>
          </cell>
        </row>
        <row r="902">
          <cell r="E902" t="str">
            <v>RB99</v>
          </cell>
          <cell r="F902">
            <v>1</v>
          </cell>
          <cell r="G902">
            <v>0.99873999999999996</v>
          </cell>
          <cell r="H902">
            <v>0</v>
          </cell>
          <cell r="I902">
            <v>1.2600000000000001E-3</v>
          </cell>
        </row>
        <row r="903">
          <cell r="E903" t="str">
            <v>CW29</v>
          </cell>
          <cell r="F903">
            <v>1</v>
          </cell>
          <cell r="G903">
            <v>0</v>
          </cell>
          <cell r="H903">
            <v>0</v>
          </cell>
          <cell r="I903">
            <v>0</v>
          </cell>
        </row>
        <row r="912">
          <cell r="F912" t="str">
            <v>TOTAL</v>
          </cell>
          <cell r="G912" t="str">
            <v>CLASSIFIED</v>
          </cell>
        </row>
        <row r="913">
          <cell r="E913" t="str">
            <v>ALLO</v>
          </cell>
          <cell r="F913" t="str">
            <v>TRANSMISSION</v>
          </cell>
          <cell r="G913" t="str">
            <v>DEMAND</v>
          </cell>
          <cell r="H913" t="str">
            <v>ENERGY</v>
          </cell>
          <cell r="I913" t="str">
            <v>CUSTOMER</v>
          </cell>
        </row>
        <row r="914">
          <cell r="E914">
            <v>1</v>
          </cell>
          <cell r="F914">
            <v>2</v>
          </cell>
          <cell r="G914">
            <v>3</v>
          </cell>
          <cell r="H914">
            <v>4</v>
          </cell>
          <cell r="I914">
            <v>5</v>
          </cell>
        </row>
        <row r="916">
          <cell r="E916" t="str">
            <v>P349</v>
          </cell>
          <cell r="F916">
            <v>1</v>
          </cell>
          <cell r="G916">
            <v>0</v>
          </cell>
          <cell r="H916">
            <v>0</v>
          </cell>
          <cell r="I916">
            <v>0</v>
          </cell>
        </row>
        <row r="917">
          <cell r="E917" t="str">
            <v>E349</v>
          </cell>
          <cell r="F917">
            <v>1</v>
          </cell>
          <cell r="G917">
            <v>0</v>
          </cell>
          <cell r="H917">
            <v>0</v>
          </cell>
          <cell r="I917">
            <v>0</v>
          </cell>
        </row>
        <row r="918">
          <cell r="E918" t="str">
            <v>P459</v>
          </cell>
          <cell r="F918">
            <v>1</v>
          </cell>
          <cell r="G918">
            <v>0</v>
          </cell>
          <cell r="H918">
            <v>0</v>
          </cell>
          <cell r="I918">
            <v>0</v>
          </cell>
        </row>
        <row r="919">
          <cell r="E919" t="str">
            <v>T349</v>
          </cell>
          <cell r="F919">
            <v>1</v>
          </cell>
          <cell r="G919">
            <v>1</v>
          </cell>
          <cell r="H919">
            <v>0</v>
          </cell>
          <cell r="I919">
            <v>0</v>
          </cell>
        </row>
        <row r="920">
          <cell r="E920" t="str">
            <v>D349</v>
          </cell>
          <cell r="F920">
            <v>1</v>
          </cell>
          <cell r="G920">
            <v>0</v>
          </cell>
          <cell r="H920">
            <v>0</v>
          </cell>
          <cell r="I920">
            <v>1</v>
          </cell>
        </row>
        <row r="921">
          <cell r="E921" t="str">
            <v>C311</v>
          </cell>
          <cell r="F921">
            <v>1</v>
          </cell>
          <cell r="G921">
            <v>0</v>
          </cell>
          <cell r="H921">
            <v>0</v>
          </cell>
          <cell r="I921">
            <v>1</v>
          </cell>
        </row>
        <row r="922">
          <cell r="E922" t="str">
            <v>C319</v>
          </cell>
          <cell r="F922">
            <v>1</v>
          </cell>
          <cell r="G922">
            <v>0</v>
          </cell>
          <cell r="H922">
            <v>0</v>
          </cell>
          <cell r="I922">
            <v>1</v>
          </cell>
        </row>
        <row r="923">
          <cell r="E923" t="str">
            <v>C331</v>
          </cell>
          <cell r="F923">
            <v>1</v>
          </cell>
          <cell r="G923">
            <v>0</v>
          </cell>
          <cell r="H923">
            <v>0</v>
          </cell>
          <cell r="I923">
            <v>0</v>
          </cell>
        </row>
        <row r="924">
          <cell r="E924" t="str">
            <v>S319</v>
          </cell>
          <cell r="F924">
            <v>1</v>
          </cell>
          <cell r="G924">
            <v>0</v>
          </cell>
          <cell r="H924">
            <v>0</v>
          </cell>
          <cell r="I924">
            <v>0</v>
          </cell>
        </row>
        <row r="925">
          <cell r="E925" t="str">
            <v>OM39</v>
          </cell>
          <cell r="F925">
            <v>1</v>
          </cell>
          <cell r="G925">
            <v>0.99950000000000006</v>
          </cell>
          <cell r="H925">
            <v>0</v>
          </cell>
          <cell r="I925">
            <v>5.0000000000000001E-4</v>
          </cell>
        </row>
        <row r="928">
          <cell r="E928" t="str">
            <v>A300</v>
          </cell>
          <cell r="F928">
            <v>1</v>
          </cell>
          <cell r="G928">
            <v>0</v>
          </cell>
          <cell r="H928">
            <v>0</v>
          </cell>
          <cell r="I928">
            <v>0</v>
          </cell>
        </row>
        <row r="929">
          <cell r="E929" t="str">
            <v>A302</v>
          </cell>
          <cell r="F929">
            <v>1</v>
          </cell>
          <cell r="G929">
            <v>0</v>
          </cell>
          <cell r="H929">
            <v>0</v>
          </cell>
          <cell r="I929">
            <v>0</v>
          </cell>
        </row>
        <row r="930">
          <cell r="E930" t="str">
            <v>A304</v>
          </cell>
          <cell r="F930">
            <v>1</v>
          </cell>
          <cell r="G930">
            <v>1</v>
          </cell>
          <cell r="H930">
            <v>0</v>
          </cell>
          <cell r="I930">
            <v>0</v>
          </cell>
        </row>
        <row r="931">
          <cell r="E931" t="str">
            <v>A306</v>
          </cell>
          <cell r="F931">
            <v>1</v>
          </cell>
          <cell r="G931">
            <v>0</v>
          </cell>
          <cell r="H931">
            <v>0</v>
          </cell>
          <cell r="I931">
            <v>1</v>
          </cell>
        </row>
        <row r="932">
          <cell r="E932" t="str">
            <v>A308</v>
          </cell>
          <cell r="F932">
            <v>1</v>
          </cell>
          <cell r="G932">
            <v>0</v>
          </cell>
          <cell r="H932">
            <v>0</v>
          </cell>
          <cell r="I932">
            <v>1</v>
          </cell>
        </row>
        <row r="933">
          <cell r="E933" t="str">
            <v>A310</v>
          </cell>
          <cell r="F933">
            <v>1</v>
          </cell>
          <cell r="G933">
            <v>0</v>
          </cell>
          <cell r="H933">
            <v>0</v>
          </cell>
          <cell r="I933">
            <v>0</v>
          </cell>
        </row>
        <row r="934">
          <cell r="E934" t="str">
            <v>A312</v>
          </cell>
          <cell r="F934">
            <v>1</v>
          </cell>
          <cell r="G934">
            <v>0</v>
          </cell>
          <cell r="H934">
            <v>0</v>
          </cell>
          <cell r="I934">
            <v>0</v>
          </cell>
        </row>
        <row r="935">
          <cell r="E935" t="str">
            <v>A315</v>
          </cell>
          <cell r="F935">
            <v>1</v>
          </cell>
          <cell r="G935">
            <v>0.99580000000000002</v>
          </cell>
          <cell r="H935">
            <v>0</v>
          </cell>
          <cell r="I935">
            <v>4.1999999999999997E-3</v>
          </cell>
        </row>
        <row r="936">
          <cell r="E936" t="str">
            <v>A357</v>
          </cell>
          <cell r="F936">
            <v>1</v>
          </cell>
          <cell r="G936">
            <v>0.99580000000000002</v>
          </cell>
          <cell r="H936">
            <v>0</v>
          </cell>
          <cell r="I936">
            <v>4.1999999999999997E-3</v>
          </cell>
        </row>
        <row r="939">
          <cell r="E939" t="str">
            <v>P489</v>
          </cell>
          <cell r="F939">
            <v>1</v>
          </cell>
          <cell r="G939">
            <v>0</v>
          </cell>
          <cell r="H939">
            <v>0</v>
          </cell>
          <cell r="I939">
            <v>0</v>
          </cell>
        </row>
        <row r="940">
          <cell r="E940" t="str">
            <v>T489</v>
          </cell>
          <cell r="F940">
            <v>1</v>
          </cell>
          <cell r="G940">
            <v>1</v>
          </cell>
          <cell r="H940">
            <v>0</v>
          </cell>
          <cell r="I940">
            <v>0</v>
          </cell>
        </row>
        <row r="941">
          <cell r="E941" t="str">
            <v>D489</v>
          </cell>
          <cell r="F941">
            <v>1</v>
          </cell>
          <cell r="G941">
            <v>0</v>
          </cell>
          <cell r="H941">
            <v>0</v>
          </cell>
          <cell r="I941">
            <v>1</v>
          </cell>
        </row>
        <row r="942">
          <cell r="E942" t="str">
            <v>G489</v>
          </cell>
          <cell r="F942">
            <v>1</v>
          </cell>
          <cell r="G942">
            <v>0.99605999999999995</v>
          </cell>
          <cell r="H942">
            <v>0</v>
          </cell>
          <cell r="I942">
            <v>3.9399999999999999E-3</v>
          </cell>
        </row>
        <row r="943">
          <cell r="E943" t="str">
            <v>C489</v>
          </cell>
          <cell r="F943">
            <v>1</v>
          </cell>
          <cell r="G943">
            <v>0.99604000000000004</v>
          </cell>
          <cell r="H943">
            <v>0</v>
          </cell>
          <cell r="I943">
            <v>3.96E-3</v>
          </cell>
        </row>
        <row r="944">
          <cell r="E944" t="str">
            <v>DE49</v>
          </cell>
          <cell r="F944">
            <v>1</v>
          </cell>
          <cell r="G944">
            <v>0.99822999999999995</v>
          </cell>
          <cell r="H944">
            <v>0</v>
          </cell>
          <cell r="I944">
            <v>1.7700000000000001E-3</v>
          </cell>
        </row>
        <row r="947">
          <cell r="E947" t="str">
            <v>L529</v>
          </cell>
          <cell r="F947">
            <v>1</v>
          </cell>
          <cell r="G947">
            <v>0.99861</v>
          </cell>
          <cell r="H947">
            <v>0</v>
          </cell>
          <cell r="I947">
            <v>1.3900000000000023E-3</v>
          </cell>
        </row>
        <row r="948">
          <cell r="E948" t="str">
            <v>L589</v>
          </cell>
          <cell r="F948">
            <v>1</v>
          </cell>
          <cell r="G948">
            <v>0.99580000000000002</v>
          </cell>
          <cell r="H948">
            <v>0</v>
          </cell>
          <cell r="I948">
            <v>4.1999999999999815E-3</v>
          </cell>
        </row>
        <row r="949">
          <cell r="E949" t="str">
            <v>L599</v>
          </cell>
          <cell r="F949">
            <v>1</v>
          </cell>
          <cell r="G949">
            <v>0.99814999999999998</v>
          </cell>
          <cell r="H949">
            <v>0</v>
          </cell>
          <cell r="I949">
            <v>1.8500000000000183E-3</v>
          </cell>
        </row>
        <row r="950">
          <cell r="E950" t="str">
            <v>OP69</v>
          </cell>
          <cell r="F950">
            <v>1</v>
          </cell>
          <cell r="G950">
            <v>0.99936999999999998</v>
          </cell>
          <cell r="H950">
            <v>0</v>
          </cell>
          <cell r="I950">
            <v>6.3000000000001943E-4</v>
          </cell>
        </row>
        <row r="953">
          <cell r="E953" t="str">
            <v>CS09</v>
          </cell>
          <cell r="F953">
            <v>1</v>
          </cell>
          <cell r="G953">
            <v>0.99926700099999999</v>
          </cell>
          <cell r="H953">
            <v>0</v>
          </cell>
          <cell r="I953">
            <v>7.3299900000001195E-4</v>
          </cell>
        </row>
      </sheetData>
      <sheetData sheetId="9">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row>
        <row r="825">
          <cell r="E825" t="str">
            <v>K209</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11</v>
          </cell>
          <cell r="P840">
            <v>394</v>
          </cell>
          <cell r="Q840">
            <v>11</v>
          </cell>
          <cell r="R840">
            <v>140010</v>
          </cell>
          <cell r="S840">
            <v>4</v>
          </cell>
        </row>
        <row r="841">
          <cell r="E841" t="str">
            <v>K405</v>
          </cell>
          <cell r="F841">
            <v>1</v>
          </cell>
          <cell r="G841">
            <v>0.90183000000000002</v>
          </cell>
          <cell r="H841">
            <v>9.1660000000000005E-2</v>
          </cell>
          <cell r="I841">
            <v>1.2199999999999999E-3</v>
          </cell>
          <cell r="J841">
            <v>7.3999999999999999E-4</v>
          </cell>
          <cell r="K841">
            <v>1.1E-4</v>
          </cell>
          <cell r="L841">
            <v>1.1000000000000001E-3</v>
          </cell>
          <cell r="M841">
            <v>2.5999999999999998E-4</v>
          </cell>
          <cell r="N841">
            <v>6.9999999999999994E-5</v>
          </cell>
          <cell r="O841">
            <v>8.0000000000000007E-5</v>
          </cell>
          <cell r="P841">
            <v>2.81E-3</v>
          </cell>
          <cell r="Q841">
            <v>8.0000000000000007E-5</v>
          </cell>
          <cell r="R841">
            <v>0.99995999999999996</v>
          </cell>
          <cell r="S841">
            <v>4.0000000000040004E-5</v>
          </cell>
        </row>
        <row r="842">
          <cell r="F842">
            <v>6350638</v>
          </cell>
          <cell r="G842">
            <v>3299927</v>
          </cell>
          <cell r="H842">
            <v>2696699</v>
          </cell>
          <cell r="I842">
            <v>0</v>
          </cell>
          <cell r="J842">
            <v>22657</v>
          </cell>
          <cell r="K842">
            <v>2715</v>
          </cell>
          <cell r="L842">
            <v>125418</v>
          </cell>
          <cell r="M842">
            <v>0</v>
          </cell>
          <cell r="N842">
            <v>10654</v>
          </cell>
          <cell r="O842">
            <v>16048</v>
          </cell>
          <cell r="P842">
            <v>0</v>
          </cell>
          <cell r="Q842">
            <v>176520</v>
          </cell>
          <cell r="R842">
            <v>6350638</v>
          </cell>
          <cell r="S842">
            <v>0</v>
          </cell>
        </row>
        <row r="843">
          <cell r="E843" t="str">
            <v>K407</v>
          </cell>
          <cell r="F843">
            <v>1</v>
          </cell>
          <cell r="G843">
            <v>0.51961000000000002</v>
          </cell>
          <cell r="H843">
            <v>0.42463000000000001</v>
          </cell>
          <cell r="I843">
            <v>0</v>
          </cell>
          <cell r="J843">
            <v>3.5699999999999998E-3</v>
          </cell>
          <cell r="K843">
            <v>4.2999999999999999E-4</v>
          </cell>
          <cell r="L843">
            <v>1.975E-2</v>
          </cell>
          <cell r="M843">
            <v>0</v>
          </cell>
          <cell r="N843">
            <v>1.6800000000000001E-3</v>
          </cell>
          <cell r="O843">
            <v>2.5300000000000001E-3</v>
          </cell>
          <cell r="P843">
            <v>0</v>
          </cell>
          <cell r="Q843">
            <v>2.7799999999999998E-2</v>
          </cell>
          <cell r="R843">
            <v>1</v>
          </cell>
          <cell r="S843">
            <v>0</v>
          </cell>
        </row>
        <row r="844">
          <cell r="F844">
            <v>243058</v>
          </cell>
          <cell r="G844">
            <v>126269</v>
          </cell>
          <cell r="H844">
            <v>102622</v>
          </cell>
          <cell r="I844">
            <v>171</v>
          </cell>
          <cell r="J844">
            <v>832</v>
          </cell>
          <cell r="K844">
            <v>112</v>
          </cell>
          <cell r="L844">
            <v>4804</v>
          </cell>
          <cell r="M844">
            <v>37</v>
          </cell>
          <cell r="N844">
            <v>410</v>
          </cell>
          <cell r="O844">
            <v>620</v>
          </cell>
          <cell r="P844">
            <v>394</v>
          </cell>
          <cell r="Q844">
            <v>6787</v>
          </cell>
          <cell r="R844">
            <v>243058</v>
          </cell>
          <cell r="S844">
            <v>0</v>
          </cell>
        </row>
        <row r="845">
          <cell r="E845" t="str">
            <v>K409</v>
          </cell>
          <cell r="F845">
            <v>1</v>
          </cell>
          <cell r="G845">
            <v>0.51951999999999998</v>
          </cell>
          <cell r="H845">
            <v>0.42220999999999997</v>
          </cell>
          <cell r="I845">
            <v>6.9999999999999999E-4</v>
          </cell>
          <cell r="J845">
            <v>3.4199999999999999E-3</v>
          </cell>
          <cell r="K845">
            <v>4.6000000000000001E-4</v>
          </cell>
          <cell r="L845">
            <v>1.976E-2</v>
          </cell>
          <cell r="M845">
            <v>1.4999999999999999E-4</v>
          </cell>
          <cell r="N845">
            <v>1.6900000000000001E-3</v>
          </cell>
          <cell r="O845">
            <v>2.5500000000000002E-3</v>
          </cell>
          <cell r="P845">
            <v>1.6199999999999999E-3</v>
          </cell>
          <cell r="Q845">
            <v>2.792E-2</v>
          </cell>
          <cell r="R845">
            <v>1</v>
          </cell>
          <cell r="S845">
            <v>0</v>
          </cell>
        </row>
        <row r="846">
          <cell r="F846">
            <v>1498164.3299999998</v>
          </cell>
          <cell r="G846">
            <v>1370864</v>
          </cell>
          <cell r="H846">
            <v>62282.329999999842</v>
          </cell>
          <cell r="I846">
            <v>409</v>
          </cell>
          <cell r="J846">
            <v>432</v>
          </cell>
          <cell r="K846">
            <v>20</v>
          </cell>
          <cell r="L846">
            <v>31779</v>
          </cell>
          <cell r="M846">
            <v>21269</v>
          </cell>
          <cell r="N846">
            <v>642</v>
          </cell>
          <cell r="O846">
            <v>9153</v>
          </cell>
          <cell r="P846">
            <v>1309</v>
          </cell>
          <cell r="Q846">
            <v>5</v>
          </cell>
          <cell r="R846">
            <v>1498164.3299999998</v>
          </cell>
          <cell r="S846">
            <v>0</v>
          </cell>
        </row>
        <row r="847">
          <cell r="E847" t="str">
            <v>K411</v>
          </cell>
          <cell r="F847">
            <v>1</v>
          </cell>
          <cell r="G847">
            <v>0.91503999999999996</v>
          </cell>
          <cell r="H847">
            <v>4.1570000000000003E-2</v>
          </cell>
          <cell r="I847">
            <v>2.7E-4</v>
          </cell>
          <cell r="J847">
            <v>2.9E-4</v>
          </cell>
          <cell r="K847">
            <v>1.0000000000000001E-5</v>
          </cell>
          <cell r="L847">
            <v>2.121E-2</v>
          </cell>
          <cell r="M847">
            <v>1.4200000000000001E-2</v>
          </cell>
          <cell r="N847">
            <v>4.2999999999999999E-4</v>
          </cell>
          <cell r="O847">
            <v>6.11E-3</v>
          </cell>
          <cell r="P847">
            <v>8.7000000000000001E-4</v>
          </cell>
          <cell r="Q847">
            <v>0</v>
          </cell>
          <cell r="R847">
            <v>0.99999999999999989</v>
          </cell>
          <cell r="S847">
            <v>0</v>
          </cell>
        </row>
        <row r="848">
          <cell r="F848">
            <v>4178319049</v>
          </cell>
          <cell r="G848">
            <v>1508499412</v>
          </cell>
          <cell r="H848">
            <v>1170020285</v>
          </cell>
          <cell r="I848">
            <v>6457090</v>
          </cell>
          <cell r="J848">
            <v>19810437</v>
          </cell>
          <cell r="K848">
            <v>277908</v>
          </cell>
          <cell r="L848">
            <v>703656372</v>
          </cell>
          <cell r="M848">
            <v>514497482</v>
          </cell>
          <cell r="N848">
            <v>16235892</v>
          </cell>
          <cell r="O848">
            <v>218940404</v>
          </cell>
          <cell r="P848">
            <v>19741342</v>
          </cell>
          <cell r="Q848">
            <v>182425</v>
          </cell>
          <cell r="R848">
            <v>4178319049</v>
          </cell>
          <cell r="S848">
            <v>0</v>
          </cell>
        </row>
        <row r="849">
          <cell r="E849" t="str">
            <v>K302</v>
          </cell>
          <cell r="F849">
            <v>1</v>
          </cell>
          <cell r="G849">
            <v>0.36102000000000001</v>
          </cell>
          <cell r="H849">
            <v>0.28001999999999999</v>
          </cell>
          <cell r="I849">
            <v>1.5499999999999999E-3</v>
          </cell>
          <cell r="J849">
            <v>4.7400000000000003E-3</v>
          </cell>
          <cell r="K849">
            <v>6.9999999999999994E-5</v>
          </cell>
          <cell r="L849">
            <v>0.16841</v>
          </cell>
          <cell r="M849">
            <v>0.12314</v>
          </cell>
          <cell r="N849">
            <v>3.8899999999999998E-3</v>
          </cell>
          <cell r="O849">
            <v>5.2400000000000002E-2</v>
          </cell>
          <cell r="P849">
            <v>4.7200000000000002E-3</v>
          </cell>
          <cell r="Q849">
            <v>4.0000000000000003E-5</v>
          </cell>
          <cell r="R849">
            <v>1</v>
          </cell>
          <cell r="S849">
            <v>0</v>
          </cell>
        </row>
        <row r="851">
          <cell r="E851" t="str">
            <v>R600</v>
          </cell>
          <cell r="F851">
            <v>24303835</v>
          </cell>
          <cell r="G851">
            <v>10153826</v>
          </cell>
          <cell r="H851">
            <v>7150924</v>
          </cell>
          <cell r="I851">
            <v>33056</v>
          </cell>
          <cell r="J851">
            <v>116404</v>
          </cell>
          <cell r="K851">
            <v>1699</v>
          </cell>
          <cell r="L851">
            <v>3385321</v>
          </cell>
          <cell r="M851">
            <v>2319577</v>
          </cell>
          <cell r="N851">
            <v>84577</v>
          </cell>
          <cell r="O851">
            <v>1022712</v>
          </cell>
          <cell r="P851">
            <v>34770</v>
          </cell>
          <cell r="Q851">
            <v>969</v>
          </cell>
          <cell r="R851">
            <v>24303835</v>
          </cell>
          <cell r="S851">
            <v>0</v>
          </cell>
        </row>
        <row r="852">
          <cell r="E852" t="str">
            <v>R602</v>
          </cell>
          <cell r="F852">
            <v>16015382</v>
          </cell>
          <cell r="G852">
            <v>6691065</v>
          </cell>
          <cell r="H852">
            <v>4712206</v>
          </cell>
          <cell r="I852">
            <v>21781</v>
          </cell>
          <cell r="J852">
            <v>76714</v>
          </cell>
          <cell r="K852">
            <v>1121</v>
          </cell>
          <cell r="L852">
            <v>2230783</v>
          </cell>
          <cell r="M852">
            <v>1528508</v>
          </cell>
          <cell r="N852">
            <v>55734</v>
          </cell>
          <cell r="O852">
            <v>673927</v>
          </cell>
          <cell r="P852">
            <v>22902</v>
          </cell>
          <cell r="Q852">
            <v>641</v>
          </cell>
          <cell r="R852">
            <v>16015382</v>
          </cell>
          <cell r="S852">
            <v>0</v>
          </cell>
        </row>
        <row r="854">
          <cell r="R854" t="str">
            <v>FR-16(7)(v)-7</v>
          </cell>
        </row>
        <row r="855">
          <cell r="R855" t="str">
            <v>WITNESS RESPONSIBLE:</v>
          </cell>
        </row>
        <row r="856">
          <cell r="R856" t="str">
            <v>JAMES E. ZIOLKOWSKI</v>
          </cell>
        </row>
        <row r="857">
          <cell r="R857" t="str">
            <v>PAGE 17 OF 18</v>
          </cell>
        </row>
        <row r="860">
          <cell r="F860" t="str">
            <v>TOTAL</v>
          </cell>
          <cell r="H860" t="str">
            <v>DS</v>
          </cell>
          <cell r="I860" t="str">
            <v>GSFL</v>
          </cell>
          <cell r="J860" t="str">
            <v>EH</v>
          </cell>
          <cell r="K860" t="str">
            <v>SP</v>
          </cell>
          <cell r="L860" t="str">
            <v>DT SEC</v>
          </cell>
          <cell r="M860" t="str">
            <v>DT PRI</v>
          </cell>
          <cell r="N860" t="str">
            <v>DP</v>
          </cell>
          <cell r="O860" t="str">
            <v>TT</v>
          </cell>
          <cell r="Q860" t="str">
            <v>OTHER</v>
          </cell>
        </row>
        <row r="861">
          <cell r="F861" t="str">
            <v>TRANSMISSION</v>
          </cell>
          <cell r="G861" t="str">
            <v>RS</v>
          </cell>
          <cell r="H861" t="str">
            <v>SECONDARY</v>
          </cell>
          <cell r="I861" t="str">
            <v>SECONDARY</v>
          </cell>
          <cell r="J861" t="str">
            <v>SECONDARY</v>
          </cell>
          <cell r="K861" t="str">
            <v>SECONDARY</v>
          </cell>
          <cell r="L861" t="str">
            <v>SECONDARY</v>
          </cell>
          <cell r="M861" t="str">
            <v>PRIMARY</v>
          </cell>
          <cell r="N861" t="str">
            <v>PRIMARY</v>
          </cell>
          <cell r="O861" t="str">
            <v>TRANSMISSION</v>
          </cell>
          <cell r="P861" t="str">
            <v>LT</v>
          </cell>
          <cell r="Q861" t="str">
            <v>WATER</v>
          </cell>
          <cell r="R861" t="str">
            <v>TOTAL</v>
          </cell>
          <cell r="S861" t="str">
            <v>ALL</v>
          </cell>
        </row>
        <row r="862">
          <cell r="E862" t="str">
            <v>ALLO</v>
          </cell>
          <cell r="F862" t="str">
            <v>DEMAND</v>
          </cell>
          <cell r="G862" t="str">
            <v>RESIDENTIAL</v>
          </cell>
          <cell r="H862" t="str">
            <v>DISTRIBUTION</v>
          </cell>
          <cell r="I862" t="str">
            <v>DISTRIBUTION</v>
          </cell>
          <cell r="J862" t="str">
            <v>DISTRIBUTION</v>
          </cell>
          <cell r="K862" t="str">
            <v>DISTRIBUTION</v>
          </cell>
          <cell r="L862" t="str">
            <v>DISTRIBUTION</v>
          </cell>
          <cell r="M862" t="str">
            <v>DISTRIBUTION</v>
          </cell>
          <cell r="N862" t="str">
            <v>DISTRIBUTION</v>
          </cell>
          <cell r="O862" t="str">
            <v>TIME OF DAY</v>
          </cell>
          <cell r="P862" t="str">
            <v>LIGHTING</v>
          </cell>
          <cell r="Q862" t="str">
            <v>PUMPING</v>
          </cell>
          <cell r="R862" t="str">
            <v>AT ISSUE</v>
          </cell>
          <cell r="S862" t="str">
            <v>OTHER</v>
          </cell>
        </row>
        <row r="863">
          <cell r="E863">
            <v>1</v>
          </cell>
          <cell r="G863">
            <v>3</v>
          </cell>
          <cell r="H863">
            <v>4</v>
          </cell>
          <cell r="I863">
            <v>5</v>
          </cell>
          <cell r="J863">
            <v>6</v>
          </cell>
          <cell r="K863">
            <v>7</v>
          </cell>
          <cell r="L863">
            <v>8</v>
          </cell>
          <cell r="M863">
            <v>9</v>
          </cell>
          <cell r="N863">
            <v>10</v>
          </cell>
          <cell r="O863">
            <v>11</v>
          </cell>
          <cell r="P863">
            <v>12</v>
          </cell>
          <cell r="Q863">
            <v>13</v>
          </cell>
          <cell r="S863" t="str">
            <v xml:space="preserve"> </v>
          </cell>
        </row>
        <row r="865">
          <cell r="F865">
            <v>304312778</v>
          </cell>
          <cell r="G865">
            <v>120391018</v>
          </cell>
          <cell r="H865">
            <v>89967454</v>
          </cell>
          <cell r="I865">
            <v>589997</v>
          </cell>
          <cell r="J865">
            <v>623628</v>
          </cell>
          <cell r="K865">
            <v>28730</v>
          </cell>
          <cell r="L865">
            <v>45903624</v>
          </cell>
          <cell r="M865">
            <v>30722085</v>
          </cell>
          <cell r="N865">
            <v>926746</v>
          </cell>
          <cell r="O865">
            <v>13220511</v>
          </cell>
          <cell r="P865">
            <v>1889364</v>
          </cell>
          <cell r="Q865">
            <v>7414</v>
          </cell>
          <cell r="R865">
            <v>304270571</v>
          </cell>
          <cell r="S865">
            <v>42207</v>
          </cell>
        </row>
        <row r="866">
          <cell r="E866" t="str">
            <v>K901</v>
          </cell>
          <cell r="F866">
            <v>1</v>
          </cell>
          <cell r="G866">
            <v>0.39562000000000003</v>
          </cell>
          <cell r="H866">
            <v>0.295641394</v>
          </cell>
          <cell r="I866">
            <v>1.9387849999999999E-3</v>
          </cell>
          <cell r="J866">
            <v>2.0492990000000001E-3</v>
          </cell>
          <cell r="K866">
            <v>9.4408999999999997E-5</v>
          </cell>
          <cell r="L866">
            <v>0.15084356400000001</v>
          </cell>
          <cell r="M866">
            <v>0.100955619</v>
          </cell>
          <cell r="N866">
            <v>3.0453730000000001E-3</v>
          </cell>
          <cell r="O866">
            <v>4.3443824999999998E-2</v>
          </cell>
          <cell r="P866">
            <v>6.2086249999999997E-3</v>
          </cell>
          <cell r="Q866">
            <v>2.4363E-5</v>
          </cell>
          <cell r="R866">
            <v>0.99986525599999998</v>
          </cell>
          <cell r="S866">
            <v>1.3474400000001996E-4</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K902</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72">
          <cell r="E872" t="str">
            <v>P129</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row>
        <row r="873">
          <cell r="E873" t="str">
            <v>T129</v>
          </cell>
          <cell r="F873">
            <v>1</v>
          </cell>
          <cell r="G873">
            <v>0.41778999999999988</v>
          </cell>
          <cell r="H873">
            <v>0.29422999999999999</v>
          </cell>
          <cell r="I873">
            <v>1.3600000000000001E-3</v>
          </cell>
          <cell r="J873">
            <v>4.79E-3</v>
          </cell>
          <cell r="K873">
            <v>6.9999999999999994E-5</v>
          </cell>
          <cell r="L873">
            <v>0.13929</v>
          </cell>
          <cell r="M873">
            <v>9.5439999999999997E-2</v>
          </cell>
          <cell r="N873">
            <v>3.48E-3</v>
          </cell>
          <cell r="O873">
            <v>4.2079999999999999E-2</v>
          </cell>
          <cell r="P873">
            <v>1.4300000000000001E-3</v>
          </cell>
          <cell r="Q873">
            <v>4.0000000000000003E-5</v>
          </cell>
          <cell r="R873">
            <v>1</v>
          </cell>
          <cell r="S873">
            <v>0</v>
          </cell>
        </row>
        <row r="874">
          <cell r="E874" t="str">
            <v>PT29</v>
          </cell>
          <cell r="F874">
            <v>1</v>
          </cell>
          <cell r="G874">
            <v>0.41778999999999988</v>
          </cell>
          <cell r="H874">
            <v>0.29422999999999999</v>
          </cell>
          <cell r="I874">
            <v>1.3600000000000001E-3</v>
          </cell>
          <cell r="J874">
            <v>4.79E-3</v>
          </cell>
          <cell r="K874">
            <v>6.9999999999999994E-5</v>
          </cell>
          <cell r="L874">
            <v>0.13929</v>
          </cell>
          <cell r="M874">
            <v>9.5439999999999997E-2</v>
          </cell>
          <cell r="N874">
            <v>3.48E-3</v>
          </cell>
          <cell r="O874">
            <v>4.2079999999999999E-2</v>
          </cell>
          <cell r="P874">
            <v>1.4300000000000001E-3</v>
          </cell>
          <cell r="Q874">
            <v>4.0000000000000003E-5</v>
          </cell>
          <cell r="R874">
            <v>1</v>
          </cell>
          <cell r="S874">
            <v>0</v>
          </cell>
        </row>
        <row r="875">
          <cell r="E875" t="str">
            <v>D149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TD29</v>
          </cell>
          <cell r="F876">
            <v>1</v>
          </cell>
          <cell r="G876">
            <v>0.41778999999999988</v>
          </cell>
          <cell r="H876">
            <v>0.29422999999999999</v>
          </cell>
          <cell r="I876">
            <v>1.3600000000000001E-3</v>
          </cell>
          <cell r="J876">
            <v>4.79E-3</v>
          </cell>
          <cell r="K876">
            <v>6.9999999999999994E-5</v>
          </cell>
          <cell r="L876">
            <v>0.13929</v>
          </cell>
          <cell r="M876">
            <v>9.5439999999999997E-2</v>
          </cell>
          <cell r="N876">
            <v>3.48E-3</v>
          </cell>
          <cell r="O876">
            <v>4.2079999999999999E-2</v>
          </cell>
          <cell r="P876">
            <v>1.4300000000000001E-3</v>
          </cell>
          <cell r="Q876">
            <v>4.0000000000000003E-5</v>
          </cell>
          <cell r="R876">
            <v>1</v>
          </cell>
          <cell r="S876">
            <v>0</v>
          </cell>
        </row>
        <row r="877">
          <cell r="E877" t="str">
            <v>PD29</v>
          </cell>
          <cell r="F877">
            <v>1</v>
          </cell>
          <cell r="G877">
            <v>0.41778999999999988</v>
          </cell>
          <cell r="H877">
            <v>0.29422999999999999</v>
          </cell>
          <cell r="I877">
            <v>1.3600000000000001E-3</v>
          </cell>
          <cell r="J877">
            <v>4.79E-3</v>
          </cell>
          <cell r="K877">
            <v>6.9999999999999994E-5</v>
          </cell>
          <cell r="L877">
            <v>0.13929</v>
          </cell>
          <cell r="M877">
            <v>9.5439999999999997E-2</v>
          </cell>
          <cell r="N877">
            <v>3.48E-3</v>
          </cell>
          <cell r="O877">
            <v>4.2079999999999999E-2</v>
          </cell>
          <cell r="P877">
            <v>1.4300000000000001E-3</v>
          </cell>
          <cell r="Q877">
            <v>4.0000000000000003E-5</v>
          </cell>
          <cell r="R877">
            <v>1</v>
          </cell>
          <cell r="S877">
            <v>0</v>
          </cell>
        </row>
        <row r="878">
          <cell r="E878" t="str">
            <v>G129</v>
          </cell>
          <cell r="F878">
            <v>1</v>
          </cell>
          <cell r="G878">
            <v>0.41778999999999988</v>
          </cell>
          <cell r="H878">
            <v>0.29422999999999999</v>
          </cell>
          <cell r="I878">
            <v>1.3600000000000001E-3</v>
          </cell>
          <cell r="J878">
            <v>4.79E-3</v>
          </cell>
          <cell r="K878">
            <v>6.9999999999999994E-5</v>
          </cell>
          <cell r="L878">
            <v>0.13929</v>
          </cell>
          <cell r="M878">
            <v>9.5439999999999997E-2</v>
          </cell>
          <cell r="N878">
            <v>3.48E-3</v>
          </cell>
          <cell r="O878">
            <v>4.2079999999999999E-2</v>
          </cell>
          <cell r="P878">
            <v>1.4300000000000001E-3</v>
          </cell>
          <cell r="Q878">
            <v>4.0000000000000003E-5</v>
          </cell>
          <cell r="R878">
            <v>1</v>
          </cell>
          <cell r="S878">
            <v>0</v>
          </cell>
        </row>
        <row r="879">
          <cell r="E879" t="str">
            <v>C129</v>
          </cell>
          <cell r="F879">
            <v>1</v>
          </cell>
          <cell r="G879">
            <v>0.41778999999999988</v>
          </cell>
          <cell r="H879">
            <v>0.29422999999999999</v>
          </cell>
          <cell r="I879">
            <v>1.3600000000000001E-3</v>
          </cell>
          <cell r="J879">
            <v>4.79E-3</v>
          </cell>
          <cell r="K879">
            <v>6.9999999999999994E-5</v>
          </cell>
          <cell r="L879">
            <v>0.13929</v>
          </cell>
          <cell r="M879">
            <v>9.5439999999999997E-2</v>
          </cell>
          <cell r="N879">
            <v>3.48E-3</v>
          </cell>
          <cell r="O879">
            <v>4.2079999999999999E-2</v>
          </cell>
          <cell r="P879">
            <v>1.4300000000000001E-3</v>
          </cell>
          <cell r="Q879">
            <v>4.0000000000000003E-5</v>
          </cell>
          <cell r="R879">
            <v>1</v>
          </cell>
          <cell r="S879">
            <v>0</v>
          </cell>
        </row>
        <row r="880">
          <cell r="E880" t="str">
            <v>GP19</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row>
        <row r="881">
          <cell r="E881" t="str">
            <v>DR19</v>
          </cell>
          <cell r="F881">
            <v>1</v>
          </cell>
          <cell r="G881">
            <v>0.41778999999999988</v>
          </cell>
          <cell r="H881">
            <v>0.29422999999999999</v>
          </cell>
          <cell r="I881">
            <v>1.3600000000000001E-3</v>
          </cell>
          <cell r="J881">
            <v>4.79E-3</v>
          </cell>
          <cell r="K881">
            <v>6.9999999999999994E-5</v>
          </cell>
          <cell r="L881">
            <v>0.13929</v>
          </cell>
          <cell r="M881">
            <v>9.5439999999999997E-2</v>
          </cell>
          <cell r="N881">
            <v>3.48E-3</v>
          </cell>
          <cell r="O881">
            <v>4.2079999999999999E-2</v>
          </cell>
          <cell r="P881">
            <v>1.4300000000000001E-3</v>
          </cell>
          <cell r="Q881">
            <v>4.0000000000000003E-5</v>
          </cell>
          <cell r="R881">
            <v>1</v>
          </cell>
          <cell r="S881">
            <v>0</v>
          </cell>
        </row>
        <row r="884">
          <cell r="E884" t="str">
            <v>P229</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row>
        <row r="885">
          <cell r="E885" t="str">
            <v>T229</v>
          </cell>
          <cell r="F885">
            <v>1</v>
          </cell>
          <cell r="G885">
            <v>0.41778999999999988</v>
          </cell>
          <cell r="H885">
            <v>0.29422999999999999</v>
          </cell>
          <cell r="I885">
            <v>1.3600000000000001E-3</v>
          </cell>
          <cell r="J885">
            <v>4.79E-3</v>
          </cell>
          <cell r="K885">
            <v>6.9999999999999994E-5</v>
          </cell>
          <cell r="L885">
            <v>0.13929</v>
          </cell>
          <cell r="M885">
            <v>9.5439999999999997E-2</v>
          </cell>
          <cell r="N885">
            <v>3.48E-3</v>
          </cell>
          <cell r="O885">
            <v>4.2079999999999999E-2</v>
          </cell>
          <cell r="P885">
            <v>1.4300000000000001E-3</v>
          </cell>
          <cell r="Q885">
            <v>4.0000000000000003E-5</v>
          </cell>
          <cell r="R885">
            <v>1</v>
          </cell>
          <cell r="S885">
            <v>0</v>
          </cell>
        </row>
        <row r="886">
          <cell r="E886" t="str">
            <v>PL49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D249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NT29</v>
          </cell>
          <cell r="F888">
            <v>1</v>
          </cell>
          <cell r="G888">
            <v>0.41778999999999988</v>
          </cell>
          <cell r="H888">
            <v>0.29422999999999999</v>
          </cell>
          <cell r="I888">
            <v>1.3600000000000001E-3</v>
          </cell>
          <cell r="J888">
            <v>4.79E-3</v>
          </cell>
          <cell r="K888">
            <v>6.9999999999999994E-5</v>
          </cell>
          <cell r="L888">
            <v>0.13929</v>
          </cell>
          <cell r="M888">
            <v>9.5439999999999997E-2</v>
          </cell>
          <cell r="N888">
            <v>3.48E-3</v>
          </cell>
          <cell r="O888">
            <v>4.2079999999999999E-2</v>
          </cell>
          <cell r="P888">
            <v>1.4300000000000001E-3</v>
          </cell>
          <cell r="Q888">
            <v>4.0000000000000003E-5</v>
          </cell>
          <cell r="R888">
            <v>1</v>
          </cell>
          <cell r="S888">
            <v>0</v>
          </cell>
        </row>
        <row r="889">
          <cell r="E889" t="str">
            <v>G229</v>
          </cell>
          <cell r="F889">
            <v>1</v>
          </cell>
          <cell r="G889">
            <v>0.41778999999999988</v>
          </cell>
          <cell r="H889">
            <v>0.29422999999999999</v>
          </cell>
          <cell r="I889">
            <v>1.3600000000000001E-3</v>
          </cell>
          <cell r="J889">
            <v>4.79E-3</v>
          </cell>
          <cell r="K889">
            <v>6.9999999999999994E-5</v>
          </cell>
          <cell r="L889">
            <v>0.13929</v>
          </cell>
          <cell r="M889">
            <v>9.5439999999999997E-2</v>
          </cell>
          <cell r="N889">
            <v>3.48E-3</v>
          </cell>
          <cell r="O889">
            <v>4.2079999999999999E-2</v>
          </cell>
          <cell r="P889">
            <v>1.4300000000000001E-3</v>
          </cell>
          <cell r="Q889">
            <v>4.0000000000000003E-5</v>
          </cell>
          <cell r="R889">
            <v>1</v>
          </cell>
          <cell r="S889">
            <v>0</v>
          </cell>
        </row>
        <row r="890">
          <cell r="E890" t="str">
            <v>C229</v>
          </cell>
          <cell r="F890">
            <v>1</v>
          </cell>
          <cell r="G890">
            <v>0.41786000000000001</v>
          </cell>
          <cell r="H890">
            <v>0.29422999999999999</v>
          </cell>
          <cell r="I890">
            <v>1.3600000000000001E-3</v>
          </cell>
          <cell r="J890">
            <v>4.7800000000000004E-3</v>
          </cell>
          <cell r="K890">
            <v>5.0000000000000002E-5</v>
          </cell>
          <cell r="L890">
            <v>0.13932</v>
          </cell>
          <cell r="M890">
            <v>9.5409999999999995E-2</v>
          </cell>
          <cell r="N890">
            <v>3.47E-3</v>
          </cell>
          <cell r="O890">
            <v>4.2079999999999999E-2</v>
          </cell>
          <cell r="P890">
            <v>1.41E-3</v>
          </cell>
          <cell r="Q890">
            <v>3.0000000000000001E-5</v>
          </cell>
          <cell r="R890">
            <v>1</v>
          </cell>
          <cell r="S890">
            <v>0</v>
          </cell>
        </row>
        <row r="891">
          <cell r="E891" t="str">
            <v>NP29</v>
          </cell>
          <cell r="F891">
            <v>1</v>
          </cell>
          <cell r="G891">
            <v>0.41778999999999988</v>
          </cell>
          <cell r="H891">
            <v>0.29422999999999999</v>
          </cell>
          <cell r="I891">
            <v>1.3600000000000001E-3</v>
          </cell>
          <cell r="J891">
            <v>4.79E-3</v>
          </cell>
          <cell r="K891">
            <v>6.9999999999999994E-5</v>
          </cell>
          <cell r="L891">
            <v>0.13929</v>
          </cell>
          <cell r="M891">
            <v>9.5439999999999997E-2</v>
          </cell>
          <cell r="N891">
            <v>3.48E-3</v>
          </cell>
          <cell r="O891">
            <v>4.2079999999999999E-2</v>
          </cell>
          <cell r="P891">
            <v>1.4300000000000001E-3</v>
          </cell>
          <cell r="Q891">
            <v>4.0000000000000003E-5</v>
          </cell>
          <cell r="R891">
            <v>1</v>
          </cell>
          <cell r="S891">
            <v>0</v>
          </cell>
        </row>
        <row r="894">
          <cell r="E894" t="str">
            <v>W669</v>
          </cell>
          <cell r="F894">
            <v>1</v>
          </cell>
          <cell r="G894">
            <v>0.41778999999999988</v>
          </cell>
          <cell r="H894">
            <v>0.29422999999999999</v>
          </cell>
          <cell r="I894">
            <v>1.3600000000000001E-3</v>
          </cell>
          <cell r="J894">
            <v>4.79E-3</v>
          </cell>
          <cell r="K894">
            <v>6.9999999999999994E-5</v>
          </cell>
          <cell r="L894">
            <v>0.13929</v>
          </cell>
          <cell r="M894">
            <v>9.5439999999999997E-2</v>
          </cell>
          <cell r="N894">
            <v>3.48E-3</v>
          </cell>
          <cell r="O894">
            <v>4.2079999999999999E-2</v>
          </cell>
          <cell r="P894">
            <v>1.4300000000000001E-3</v>
          </cell>
          <cell r="Q894">
            <v>4.0000000000000003E-5</v>
          </cell>
          <cell r="R894">
            <v>1</v>
          </cell>
          <cell r="S894">
            <v>0</v>
          </cell>
        </row>
        <row r="895">
          <cell r="E895" t="str">
            <v>W689</v>
          </cell>
          <cell r="F895">
            <v>1</v>
          </cell>
          <cell r="G895">
            <v>1</v>
          </cell>
          <cell r="H895">
            <v>0</v>
          </cell>
          <cell r="I895">
            <v>0</v>
          </cell>
          <cell r="J895">
            <v>0</v>
          </cell>
          <cell r="K895">
            <v>0</v>
          </cell>
          <cell r="L895">
            <v>0</v>
          </cell>
          <cell r="M895">
            <v>0</v>
          </cell>
          <cell r="N895">
            <v>0</v>
          </cell>
          <cell r="O895">
            <v>0</v>
          </cell>
          <cell r="P895">
            <v>0</v>
          </cell>
          <cell r="Q895">
            <v>0</v>
          </cell>
          <cell r="R895">
            <v>1</v>
          </cell>
          <cell r="S895">
            <v>0</v>
          </cell>
        </row>
        <row r="896">
          <cell r="E896" t="str">
            <v>W719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W749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WC79</v>
          </cell>
          <cell r="F898">
            <v>1</v>
          </cell>
          <cell r="G898">
            <v>0.41778999999999988</v>
          </cell>
          <cell r="H898">
            <v>0.29422999999999999</v>
          </cell>
          <cell r="I898">
            <v>1.3600000000000001E-3</v>
          </cell>
          <cell r="J898">
            <v>4.79E-3</v>
          </cell>
          <cell r="K898">
            <v>6.9999999999999994E-5</v>
          </cell>
          <cell r="L898">
            <v>0.13929</v>
          </cell>
          <cell r="M898">
            <v>9.5439999999999997E-2</v>
          </cell>
          <cell r="N898">
            <v>3.48E-3</v>
          </cell>
          <cell r="O898">
            <v>4.2079999999999999E-2</v>
          </cell>
          <cell r="P898">
            <v>1.4300000000000001E-3</v>
          </cell>
          <cell r="Q898">
            <v>4.0000000000000003E-5</v>
          </cell>
          <cell r="R898">
            <v>1</v>
          </cell>
          <cell r="S898">
            <v>0</v>
          </cell>
        </row>
        <row r="901">
          <cell r="E901" t="str">
            <v>RB29</v>
          </cell>
          <cell r="F901">
            <v>1</v>
          </cell>
          <cell r="G901">
            <v>0.41778999999999988</v>
          </cell>
          <cell r="H901">
            <v>0.29422999999999999</v>
          </cell>
          <cell r="I901">
            <v>1.3600000000000001E-3</v>
          </cell>
          <cell r="J901">
            <v>4.79E-3</v>
          </cell>
          <cell r="K901">
            <v>6.9999999999999994E-5</v>
          </cell>
          <cell r="L901">
            <v>0.13929</v>
          </cell>
          <cell r="M901">
            <v>9.5439999999999997E-2</v>
          </cell>
          <cell r="N901">
            <v>3.48E-3</v>
          </cell>
          <cell r="O901">
            <v>4.2079999999999999E-2</v>
          </cell>
          <cell r="P901">
            <v>1.4300000000000001E-3</v>
          </cell>
          <cell r="Q901">
            <v>4.0000000000000003E-5</v>
          </cell>
          <cell r="R901">
            <v>1</v>
          </cell>
          <cell r="S901">
            <v>0</v>
          </cell>
        </row>
        <row r="902">
          <cell r="E902" t="str">
            <v>RB99</v>
          </cell>
          <cell r="F902">
            <v>1</v>
          </cell>
          <cell r="G902">
            <v>0.41778999999999988</v>
          </cell>
          <cell r="H902">
            <v>0.29422999999999999</v>
          </cell>
          <cell r="I902">
            <v>1.3600000000000001E-3</v>
          </cell>
          <cell r="J902">
            <v>4.79E-3</v>
          </cell>
          <cell r="K902">
            <v>6.9999999999999994E-5</v>
          </cell>
          <cell r="L902">
            <v>0.13929</v>
          </cell>
          <cell r="M902">
            <v>9.5439999999999997E-2</v>
          </cell>
          <cell r="N902">
            <v>3.48E-3</v>
          </cell>
          <cell r="O902">
            <v>4.2079999999999999E-2</v>
          </cell>
          <cell r="P902">
            <v>1.4300000000000001E-3</v>
          </cell>
          <cell r="Q902">
            <v>4.0000000000000003E-5</v>
          </cell>
          <cell r="R902">
            <v>1</v>
          </cell>
          <cell r="S902">
            <v>0</v>
          </cell>
        </row>
        <row r="903">
          <cell r="E903" t="str">
            <v>CW29</v>
          </cell>
          <cell r="F903">
            <v>1</v>
          </cell>
          <cell r="G903">
            <v>1</v>
          </cell>
          <cell r="H903">
            <v>0</v>
          </cell>
          <cell r="I903">
            <v>0</v>
          </cell>
          <cell r="J903">
            <v>0</v>
          </cell>
          <cell r="K903">
            <v>0</v>
          </cell>
          <cell r="L903">
            <v>0</v>
          </cell>
          <cell r="M903">
            <v>0</v>
          </cell>
          <cell r="N903">
            <v>0</v>
          </cell>
          <cell r="O903">
            <v>0</v>
          </cell>
          <cell r="P903">
            <v>0</v>
          </cell>
          <cell r="Q903">
            <v>0</v>
          </cell>
          <cell r="R903">
            <v>1</v>
          </cell>
          <cell r="S903">
            <v>0</v>
          </cell>
        </row>
        <row r="905">
          <cell r="R905" t="str">
            <v>FR-16(7)(v)-7</v>
          </cell>
        </row>
        <row r="906">
          <cell r="R906" t="str">
            <v>WITNESS RESPONSIBLE:</v>
          </cell>
        </row>
        <row r="907">
          <cell r="R907" t="str">
            <v>JAMES E. ZIOLKOWSKI</v>
          </cell>
        </row>
        <row r="908">
          <cell r="R908" t="str">
            <v>PAGE 18 OF 18</v>
          </cell>
        </row>
        <row r="911">
          <cell r="F911" t="str">
            <v>TOTAL</v>
          </cell>
          <cell r="H911" t="str">
            <v>DS</v>
          </cell>
          <cell r="I911" t="str">
            <v>GSFL</v>
          </cell>
          <cell r="J911" t="str">
            <v>EH</v>
          </cell>
          <cell r="K911" t="str">
            <v>SP</v>
          </cell>
          <cell r="L911" t="str">
            <v>DT SEC</v>
          </cell>
          <cell r="M911" t="str">
            <v>DT PRI</v>
          </cell>
          <cell r="N911" t="str">
            <v>DP</v>
          </cell>
          <cell r="O911" t="str">
            <v>TT</v>
          </cell>
          <cell r="Q911" t="str">
            <v>OTHER</v>
          </cell>
        </row>
        <row r="912">
          <cell r="F912" t="str">
            <v>TRANSMISSION</v>
          </cell>
          <cell r="G912" t="str">
            <v>RS</v>
          </cell>
          <cell r="H912" t="str">
            <v>SECONDARY</v>
          </cell>
          <cell r="I912" t="str">
            <v>SECONDARY</v>
          </cell>
          <cell r="J912" t="str">
            <v>SECONDARY</v>
          </cell>
          <cell r="K912" t="str">
            <v>SECONDARY</v>
          </cell>
          <cell r="L912" t="str">
            <v>SECONDARY</v>
          </cell>
          <cell r="M912" t="str">
            <v>PRIMARY</v>
          </cell>
          <cell r="N912" t="str">
            <v>PRIMARY</v>
          </cell>
          <cell r="O912" t="str">
            <v>TRANSMISSION</v>
          </cell>
          <cell r="P912" t="str">
            <v>LT</v>
          </cell>
          <cell r="Q912" t="str">
            <v>WATER</v>
          </cell>
          <cell r="R912" t="str">
            <v>TOTAL</v>
          </cell>
          <cell r="S912" t="str">
            <v>ALL</v>
          </cell>
        </row>
        <row r="913">
          <cell r="E913" t="str">
            <v>ALLO</v>
          </cell>
          <cell r="F913" t="str">
            <v>DEMAND</v>
          </cell>
          <cell r="G913" t="str">
            <v>RESIDENTIAL</v>
          </cell>
          <cell r="H913" t="str">
            <v>DISTRIBUTION</v>
          </cell>
          <cell r="I913" t="str">
            <v>DISTRIBUTION</v>
          </cell>
          <cell r="J913" t="str">
            <v>DISTRIBUTION</v>
          </cell>
          <cell r="K913" t="str">
            <v>DISTRIBUTION</v>
          </cell>
          <cell r="L913" t="str">
            <v>DISTRIBUTION</v>
          </cell>
          <cell r="M913" t="str">
            <v>DISTRIBUTION</v>
          </cell>
          <cell r="N913" t="str">
            <v>DISTRIBUTION</v>
          </cell>
          <cell r="O913" t="str">
            <v>TIME OF DAY</v>
          </cell>
          <cell r="P913" t="str">
            <v>LIGHTING</v>
          </cell>
          <cell r="Q913" t="str">
            <v>PUMPING</v>
          </cell>
          <cell r="R913" t="str">
            <v>AT ISSUE</v>
          </cell>
          <cell r="S913" t="str">
            <v>OTHER</v>
          </cell>
        </row>
        <row r="914">
          <cell r="E914">
            <v>1</v>
          </cell>
          <cell r="G914">
            <v>3</v>
          </cell>
          <cell r="H914">
            <v>4</v>
          </cell>
          <cell r="I914">
            <v>5</v>
          </cell>
          <cell r="J914">
            <v>6</v>
          </cell>
          <cell r="K914">
            <v>7</v>
          </cell>
          <cell r="L914">
            <v>8</v>
          </cell>
          <cell r="M914">
            <v>9</v>
          </cell>
          <cell r="N914">
            <v>10</v>
          </cell>
          <cell r="O914">
            <v>11</v>
          </cell>
          <cell r="P914">
            <v>12</v>
          </cell>
          <cell r="Q914">
            <v>13</v>
          </cell>
          <cell r="S914" t="str">
            <v xml:space="preserve"> </v>
          </cell>
        </row>
        <row r="916">
          <cell r="E916" t="str">
            <v>P349</v>
          </cell>
          <cell r="F916">
            <v>1</v>
          </cell>
          <cell r="G916">
            <v>0</v>
          </cell>
          <cell r="H916">
            <v>0</v>
          </cell>
          <cell r="I916">
            <v>0</v>
          </cell>
          <cell r="J916">
            <v>0</v>
          </cell>
          <cell r="K916">
            <v>0</v>
          </cell>
          <cell r="L916">
            <v>0</v>
          </cell>
          <cell r="M916">
            <v>0</v>
          </cell>
          <cell r="N916">
            <v>0</v>
          </cell>
          <cell r="O916">
            <v>0</v>
          </cell>
          <cell r="P916">
            <v>0</v>
          </cell>
          <cell r="Q916">
            <v>0</v>
          </cell>
          <cell r="R916">
            <v>0</v>
          </cell>
          <cell r="S916">
            <v>1</v>
          </cell>
        </row>
        <row r="917">
          <cell r="E917" t="str">
            <v>E349</v>
          </cell>
          <cell r="F917">
            <v>1</v>
          </cell>
          <cell r="G917">
            <v>0</v>
          </cell>
          <cell r="H917">
            <v>0</v>
          </cell>
          <cell r="I917">
            <v>0</v>
          </cell>
          <cell r="J917">
            <v>0</v>
          </cell>
          <cell r="K917">
            <v>0</v>
          </cell>
          <cell r="L917">
            <v>0</v>
          </cell>
          <cell r="M917">
            <v>0</v>
          </cell>
          <cell r="N917">
            <v>0</v>
          </cell>
          <cell r="O917">
            <v>0</v>
          </cell>
          <cell r="P917">
            <v>0</v>
          </cell>
          <cell r="Q917">
            <v>0</v>
          </cell>
          <cell r="R917">
            <v>0</v>
          </cell>
          <cell r="S917">
            <v>1</v>
          </cell>
        </row>
        <row r="918">
          <cell r="E918" t="str">
            <v>P459</v>
          </cell>
          <cell r="F918">
            <v>1</v>
          </cell>
          <cell r="G918">
            <v>0</v>
          </cell>
          <cell r="H918">
            <v>0</v>
          </cell>
          <cell r="I918">
            <v>0</v>
          </cell>
          <cell r="J918">
            <v>0</v>
          </cell>
          <cell r="K918">
            <v>0</v>
          </cell>
          <cell r="L918">
            <v>0</v>
          </cell>
          <cell r="M918">
            <v>0</v>
          </cell>
          <cell r="N918">
            <v>0</v>
          </cell>
          <cell r="O918">
            <v>0</v>
          </cell>
          <cell r="P918">
            <v>0</v>
          </cell>
          <cell r="Q918">
            <v>0</v>
          </cell>
          <cell r="R918">
            <v>0</v>
          </cell>
          <cell r="S918">
            <v>1</v>
          </cell>
        </row>
        <row r="919">
          <cell r="E919" t="str">
            <v>T349</v>
          </cell>
          <cell r="F919">
            <v>1</v>
          </cell>
          <cell r="G919">
            <v>0.41778999999999999</v>
          </cell>
          <cell r="H919">
            <v>0.29422999999999999</v>
          </cell>
          <cell r="I919">
            <v>1.3600000000000001E-3</v>
          </cell>
          <cell r="J919">
            <v>4.79E-3</v>
          </cell>
          <cell r="K919">
            <v>6.9999999999999994E-5</v>
          </cell>
          <cell r="L919">
            <v>0.13929</v>
          </cell>
          <cell r="M919">
            <v>9.5439999999999997E-2</v>
          </cell>
          <cell r="N919">
            <v>3.48E-3</v>
          </cell>
          <cell r="O919">
            <v>4.2079999999999999E-2</v>
          </cell>
          <cell r="P919">
            <v>1.4300000000000001E-3</v>
          </cell>
          <cell r="Q919">
            <v>4.0000000000000003E-5</v>
          </cell>
          <cell r="R919">
            <v>1</v>
          </cell>
          <cell r="S919">
            <v>0</v>
          </cell>
        </row>
        <row r="920">
          <cell r="E920" t="str">
            <v>D349</v>
          </cell>
          <cell r="F920">
            <v>1</v>
          </cell>
          <cell r="G920">
            <v>0</v>
          </cell>
          <cell r="H920">
            <v>0</v>
          </cell>
          <cell r="I920">
            <v>0</v>
          </cell>
          <cell r="J920">
            <v>0</v>
          </cell>
          <cell r="K920">
            <v>0</v>
          </cell>
          <cell r="L920">
            <v>0</v>
          </cell>
          <cell r="M920">
            <v>0</v>
          </cell>
          <cell r="N920">
            <v>0</v>
          </cell>
          <cell r="O920">
            <v>0</v>
          </cell>
          <cell r="P920">
            <v>0</v>
          </cell>
          <cell r="Q920">
            <v>0</v>
          </cell>
          <cell r="R920">
            <v>0</v>
          </cell>
          <cell r="S920">
            <v>1</v>
          </cell>
        </row>
        <row r="921">
          <cell r="E921" t="str">
            <v>C311</v>
          </cell>
          <cell r="F921">
            <v>1</v>
          </cell>
          <cell r="G921">
            <v>0</v>
          </cell>
          <cell r="H921">
            <v>0</v>
          </cell>
          <cell r="I921">
            <v>0</v>
          </cell>
          <cell r="J921">
            <v>0</v>
          </cell>
          <cell r="K921">
            <v>0</v>
          </cell>
          <cell r="L921">
            <v>0</v>
          </cell>
          <cell r="M921">
            <v>0</v>
          </cell>
          <cell r="N921">
            <v>0</v>
          </cell>
          <cell r="O921">
            <v>0</v>
          </cell>
          <cell r="P921">
            <v>0</v>
          </cell>
          <cell r="Q921">
            <v>0</v>
          </cell>
          <cell r="R921">
            <v>0</v>
          </cell>
          <cell r="S921">
            <v>1</v>
          </cell>
        </row>
        <row r="922">
          <cell r="E922" t="str">
            <v>C319</v>
          </cell>
          <cell r="F922">
            <v>1</v>
          </cell>
          <cell r="G922">
            <v>0</v>
          </cell>
          <cell r="H922">
            <v>0</v>
          </cell>
          <cell r="I922">
            <v>0</v>
          </cell>
          <cell r="J922">
            <v>0</v>
          </cell>
          <cell r="K922">
            <v>0</v>
          </cell>
          <cell r="L922">
            <v>0</v>
          </cell>
          <cell r="M922">
            <v>0</v>
          </cell>
          <cell r="N922">
            <v>0</v>
          </cell>
          <cell r="O922">
            <v>0</v>
          </cell>
          <cell r="P922">
            <v>0</v>
          </cell>
          <cell r="Q922">
            <v>0</v>
          </cell>
          <cell r="R922">
            <v>0</v>
          </cell>
          <cell r="S922">
            <v>1</v>
          </cell>
        </row>
        <row r="923">
          <cell r="E923" t="str">
            <v>C331</v>
          </cell>
          <cell r="F923">
            <v>1</v>
          </cell>
          <cell r="G923">
            <v>0</v>
          </cell>
          <cell r="H923">
            <v>0</v>
          </cell>
          <cell r="I923">
            <v>0</v>
          </cell>
          <cell r="J923">
            <v>0</v>
          </cell>
          <cell r="K923">
            <v>0</v>
          </cell>
          <cell r="L923">
            <v>0</v>
          </cell>
          <cell r="M923">
            <v>0</v>
          </cell>
          <cell r="N923">
            <v>0</v>
          </cell>
          <cell r="O923">
            <v>0</v>
          </cell>
          <cell r="P923">
            <v>0</v>
          </cell>
          <cell r="Q923">
            <v>0</v>
          </cell>
          <cell r="R923">
            <v>0</v>
          </cell>
          <cell r="S923">
            <v>1</v>
          </cell>
        </row>
        <row r="924">
          <cell r="E924" t="str">
            <v>S319</v>
          </cell>
          <cell r="F924">
            <v>1</v>
          </cell>
          <cell r="G924">
            <v>0</v>
          </cell>
          <cell r="H924">
            <v>0</v>
          </cell>
          <cell r="I924">
            <v>0</v>
          </cell>
          <cell r="J924">
            <v>0</v>
          </cell>
          <cell r="K924">
            <v>0</v>
          </cell>
          <cell r="L924">
            <v>0</v>
          </cell>
          <cell r="M924">
            <v>0</v>
          </cell>
          <cell r="N924">
            <v>0</v>
          </cell>
          <cell r="O924">
            <v>0</v>
          </cell>
          <cell r="P924">
            <v>0</v>
          </cell>
          <cell r="Q924">
            <v>0</v>
          </cell>
          <cell r="R924">
            <v>0</v>
          </cell>
          <cell r="S924">
            <v>1</v>
          </cell>
        </row>
        <row r="925">
          <cell r="E925" t="str">
            <v>OM39</v>
          </cell>
          <cell r="F925">
            <v>1</v>
          </cell>
          <cell r="G925">
            <v>0.41778999999999999</v>
          </cell>
          <cell r="H925">
            <v>0.29422999999999999</v>
          </cell>
          <cell r="I925">
            <v>1.3600000000000001E-3</v>
          </cell>
          <cell r="J925">
            <v>4.79E-3</v>
          </cell>
          <cell r="K925">
            <v>6.9999999999999994E-5</v>
          </cell>
          <cell r="L925">
            <v>0.13929</v>
          </cell>
          <cell r="M925">
            <v>9.5439999999999997E-2</v>
          </cell>
          <cell r="N925">
            <v>3.48E-3</v>
          </cell>
          <cell r="O925">
            <v>4.2079999999999999E-2</v>
          </cell>
          <cell r="P925">
            <v>1.4300000000000001E-3</v>
          </cell>
          <cell r="Q925">
            <v>4.0000000000000003E-5</v>
          </cell>
          <cell r="R925">
            <v>1</v>
          </cell>
          <cell r="S925">
            <v>0</v>
          </cell>
        </row>
        <row r="928">
          <cell r="E928" t="str">
            <v>A300</v>
          </cell>
          <cell r="F928">
            <v>1</v>
          </cell>
          <cell r="G928">
            <v>0</v>
          </cell>
          <cell r="H928">
            <v>0</v>
          </cell>
          <cell r="I928">
            <v>0</v>
          </cell>
          <cell r="J928">
            <v>0</v>
          </cell>
          <cell r="K928">
            <v>0</v>
          </cell>
          <cell r="L928">
            <v>0</v>
          </cell>
          <cell r="M928">
            <v>0</v>
          </cell>
          <cell r="N928">
            <v>0</v>
          </cell>
          <cell r="O928">
            <v>0</v>
          </cell>
          <cell r="P928">
            <v>0</v>
          </cell>
          <cell r="Q928">
            <v>0</v>
          </cell>
          <cell r="R928">
            <v>0</v>
          </cell>
          <cell r="S928">
            <v>1</v>
          </cell>
        </row>
        <row r="929">
          <cell r="E929" t="str">
            <v>A302</v>
          </cell>
          <cell r="F929">
            <v>1</v>
          </cell>
          <cell r="G929">
            <v>0</v>
          </cell>
          <cell r="H929">
            <v>0</v>
          </cell>
          <cell r="I929">
            <v>0</v>
          </cell>
          <cell r="J929">
            <v>0</v>
          </cell>
          <cell r="K929">
            <v>0</v>
          </cell>
          <cell r="L929">
            <v>0</v>
          </cell>
          <cell r="M929">
            <v>0</v>
          </cell>
          <cell r="N929">
            <v>0</v>
          </cell>
          <cell r="O929">
            <v>0</v>
          </cell>
          <cell r="P929">
            <v>0</v>
          </cell>
          <cell r="Q929">
            <v>0</v>
          </cell>
          <cell r="R929">
            <v>0</v>
          </cell>
          <cell r="S929">
            <v>1</v>
          </cell>
        </row>
        <row r="930">
          <cell r="E930" t="str">
            <v>A304</v>
          </cell>
          <cell r="F930">
            <v>1</v>
          </cell>
          <cell r="G930">
            <v>0.41778999999999999</v>
          </cell>
          <cell r="H930">
            <v>0.29422999999999999</v>
          </cell>
          <cell r="I930">
            <v>1.3600000000000001E-3</v>
          </cell>
          <cell r="J930">
            <v>4.79E-3</v>
          </cell>
          <cell r="K930">
            <v>6.9999999999999994E-5</v>
          </cell>
          <cell r="L930">
            <v>0.13929</v>
          </cell>
          <cell r="M930">
            <v>9.5439999999999997E-2</v>
          </cell>
          <cell r="N930">
            <v>3.48E-3</v>
          </cell>
          <cell r="O930">
            <v>4.2079999999999999E-2</v>
          </cell>
          <cell r="P930">
            <v>1.4300000000000001E-3</v>
          </cell>
          <cell r="Q930">
            <v>4.0000000000000003E-5</v>
          </cell>
          <cell r="R930">
            <v>1</v>
          </cell>
          <cell r="S930">
            <v>0</v>
          </cell>
        </row>
        <row r="931">
          <cell r="E931" t="str">
            <v>A306</v>
          </cell>
          <cell r="F931">
            <v>1</v>
          </cell>
          <cell r="G931">
            <v>0</v>
          </cell>
          <cell r="H931">
            <v>0</v>
          </cell>
          <cell r="I931">
            <v>0</v>
          </cell>
          <cell r="J931">
            <v>0</v>
          </cell>
          <cell r="K931">
            <v>0</v>
          </cell>
          <cell r="L931">
            <v>0</v>
          </cell>
          <cell r="M931">
            <v>0</v>
          </cell>
          <cell r="N931">
            <v>0</v>
          </cell>
          <cell r="O931">
            <v>0</v>
          </cell>
          <cell r="P931">
            <v>0</v>
          </cell>
          <cell r="Q931">
            <v>0</v>
          </cell>
          <cell r="R931">
            <v>0</v>
          </cell>
          <cell r="S931">
            <v>1</v>
          </cell>
        </row>
        <row r="932">
          <cell r="E932" t="str">
            <v>A308</v>
          </cell>
          <cell r="F932">
            <v>1</v>
          </cell>
          <cell r="G932">
            <v>0</v>
          </cell>
          <cell r="H932">
            <v>0</v>
          </cell>
          <cell r="I932">
            <v>0</v>
          </cell>
          <cell r="J932">
            <v>0</v>
          </cell>
          <cell r="K932">
            <v>0</v>
          </cell>
          <cell r="L932">
            <v>0</v>
          </cell>
          <cell r="M932">
            <v>0</v>
          </cell>
          <cell r="N932">
            <v>0</v>
          </cell>
          <cell r="O932">
            <v>0</v>
          </cell>
          <cell r="P932">
            <v>0</v>
          </cell>
          <cell r="Q932">
            <v>0</v>
          </cell>
          <cell r="R932">
            <v>0</v>
          </cell>
          <cell r="S932">
            <v>1</v>
          </cell>
        </row>
        <row r="933">
          <cell r="E933" t="str">
            <v>A310</v>
          </cell>
          <cell r="F933">
            <v>1</v>
          </cell>
          <cell r="G933">
            <v>0</v>
          </cell>
          <cell r="H933">
            <v>0</v>
          </cell>
          <cell r="I933">
            <v>0</v>
          </cell>
          <cell r="J933">
            <v>0</v>
          </cell>
          <cell r="K933">
            <v>0</v>
          </cell>
          <cell r="L933">
            <v>0</v>
          </cell>
          <cell r="M933">
            <v>0</v>
          </cell>
          <cell r="N933">
            <v>0</v>
          </cell>
          <cell r="O933">
            <v>0</v>
          </cell>
          <cell r="P933">
            <v>0</v>
          </cell>
          <cell r="Q933">
            <v>0</v>
          </cell>
          <cell r="R933">
            <v>0</v>
          </cell>
          <cell r="S933">
            <v>1</v>
          </cell>
        </row>
        <row r="934">
          <cell r="E934" t="str">
            <v>A312</v>
          </cell>
          <cell r="F934">
            <v>1</v>
          </cell>
          <cell r="G934">
            <v>0</v>
          </cell>
          <cell r="H934">
            <v>0</v>
          </cell>
          <cell r="I934">
            <v>0</v>
          </cell>
          <cell r="J934">
            <v>0</v>
          </cell>
          <cell r="K934">
            <v>0</v>
          </cell>
          <cell r="L934">
            <v>0</v>
          </cell>
          <cell r="M934">
            <v>0</v>
          </cell>
          <cell r="N934">
            <v>0</v>
          </cell>
          <cell r="O934">
            <v>0</v>
          </cell>
          <cell r="P934">
            <v>0</v>
          </cell>
          <cell r="Q934">
            <v>0</v>
          </cell>
          <cell r="R934">
            <v>0</v>
          </cell>
          <cell r="S934">
            <v>1</v>
          </cell>
        </row>
        <row r="935">
          <cell r="E935" t="str">
            <v>A315</v>
          </cell>
          <cell r="F935">
            <v>1</v>
          </cell>
          <cell r="G935">
            <v>0.41778999999999999</v>
          </cell>
          <cell r="H935">
            <v>0.29422999999999999</v>
          </cell>
          <cell r="I935">
            <v>1.3600000000000001E-3</v>
          </cell>
          <cell r="J935">
            <v>4.79E-3</v>
          </cell>
          <cell r="K935">
            <v>6.9999999999999994E-5</v>
          </cell>
          <cell r="L935">
            <v>0.13929</v>
          </cell>
          <cell r="M935">
            <v>9.5439999999999997E-2</v>
          </cell>
          <cell r="N935">
            <v>3.48E-3</v>
          </cell>
          <cell r="O935">
            <v>4.2079999999999999E-2</v>
          </cell>
          <cell r="P935">
            <v>1.4300000000000001E-3</v>
          </cell>
          <cell r="Q935">
            <v>4.0000000000000003E-5</v>
          </cell>
          <cell r="R935">
            <v>1</v>
          </cell>
          <cell r="S935">
            <v>0</v>
          </cell>
        </row>
        <row r="936">
          <cell r="E936" t="str">
            <v>A357</v>
          </cell>
          <cell r="F936">
            <v>1</v>
          </cell>
          <cell r="G936">
            <v>0.41778999999999999</v>
          </cell>
          <cell r="H936">
            <v>0.29422999999999999</v>
          </cell>
          <cell r="I936">
            <v>1.3600000000000001E-3</v>
          </cell>
          <cell r="J936">
            <v>4.79E-3</v>
          </cell>
          <cell r="K936">
            <v>6.9999999999999994E-5</v>
          </cell>
          <cell r="L936">
            <v>0.13929</v>
          </cell>
          <cell r="M936">
            <v>9.5439999999999997E-2</v>
          </cell>
          <cell r="N936">
            <v>3.48E-3</v>
          </cell>
          <cell r="O936">
            <v>4.2079999999999999E-2</v>
          </cell>
          <cell r="P936">
            <v>1.4300000000000001E-3</v>
          </cell>
          <cell r="Q936">
            <v>4.0000000000000003E-5</v>
          </cell>
          <cell r="R936">
            <v>1</v>
          </cell>
          <cell r="S936">
            <v>0</v>
          </cell>
        </row>
        <row r="939">
          <cell r="E939" t="str">
            <v>P489</v>
          </cell>
          <cell r="F939">
            <v>1</v>
          </cell>
          <cell r="G939">
            <v>0</v>
          </cell>
          <cell r="H939">
            <v>0</v>
          </cell>
          <cell r="I939">
            <v>0</v>
          </cell>
          <cell r="J939">
            <v>0</v>
          </cell>
          <cell r="K939">
            <v>0</v>
          </cell>
          <cell r="L939">
            <v>0</v>
          </cell>
          <cell r="M939">
            <v>0</v>
          </cell>
          <cell r="N939">
            <v>0</v>
          </cell>
          <cell r="O939">
            <v>0</v>
          </cell>
          <cell r="P939">
            <v>0</v>
          </cell>
          <cell r="Q939">
            <v>0</v>
          </cell>
          <cell r="R939">
            <v>0</v>
          </cell>
          <cell r="S939">
            <v>1</v>
          </cell>
        </row>
        <row r="940">
          <cell r="E940" t="str">
            <v>T489</v>
          </cell>
          <cell r="F940">
            <v>1</v>
          </cell>
          <cell r="G940">
            <v>0.41778999999999999</v>
          </cell>
          <cell r="H940">
            <v>0.29422999999999999</v>
          </cell>
          <cell r="I940">
            <v>1.3600000000000001E-3</v>
          </cell>
          <cell r="J940">
            <v>4.79E-3</v>
          </cell>
          <cell r="K940">
            <v>6.9999999999999994E-5</v>
          </cell>
          <cell r="L940">
            <v>0.13929</v>
          </cell>
          <cell r="M940">
            <v>9.5439999999999997E-2</v>
          </cell>
          <cell r="N940">
            <v>3.48E-3</v>
          </cell>
          <cell r="O940">
            <v>4.2079999999999999E-2</v>
          </cell>
          <cell r="P940">
            <v>1.4300000000000001E-3</v>
          </cell>
          <cell r="Q940">
            <v>4.0000000000000003E-5</v>
          </cell>
          <cell r="R940">
            <v>1</v>
          </cell>
          <cell r="S940">
            <v>0</v>
          </cell>
        </row>
        <row r="941">
          <cell r="E941" t="str">
            <v>D489</v>
          </cell>
          <cell r="F941">
            <v>1</v>
          </cell>
          <cell r="G941">
            <v>0</v>
          </cell>
          <cell r="H941">
            <v>0</v>
          </cell>
          <cell r="I941">
            <v>0</v>
          </cell>
          <cell r="J941">
            <v>0</v>
          </cell>
          <cell r="K941">
            <v>0</v>
          </cell>
          <cell r="L941">
            <v>0</v>
          </cell>
          <cell r="M941">
            <v>0</v>
          </cell>
          <cell r="N941">
            <v>0</v>
          </cell>
          <cell r="O941">
            <v>0</v>
          </cell>
          <cell r="P941">
            <v>0</v>
          </cell>
          <cell r="Q941">
            <v>0</v>
          </cell>
          <cell r="R941">
            <v>0</v>
          </cell>
          <cell r="S941">
            <v>1</v>
          </cell>
        </row>
        <row r="942">
          <cell r="E942" t="str">
            <v>G489</v>
          </cell>
          <cell r="F942">
            <v>1</v>
          </cell>
          <cell r="G942">
            <v>0.41778999999999999</v>
          </cell>
          <cell r="H942">
            <v>0.29422999999999999</v>
          </cell>
          <cell r="I942">
            <v>1.3600000000000001E-3</v>
          </cell>
          <cell r="J942">
            <v>4.79E-3</v>
          </cell>
          <cell r="K942">
            <v>6.9999999999999994E-5</v>
          </cell>
          <cell r="L942">
            <v>0.13929</v>
          </cell>
          <cell r="M942">
            <v>9.5439999999999997E-2</v>
          </cell>
          <cell r="N942">
            <v>3.48E-3</v>
          </cell>
          <cell r="O942">
            <v>4.2079999999999999E-2</v>
          </cell>
          <cell r="P942">
            <v>1.4300000000000001E-3</v>
          </cell>
          <cell r="Q942">
            <v>4.0000000000000003E-5</v>
          </cell>
          <cell r="R942">
            <v>1</v>
          </cell>
          <cell r="S942">
            <v>0</v>
          </cell>
        </row>
        <row r="943">
          <cell r="E943" t="str">
            <v>C489</v>
          </cell>
          <cell r="F943">
            <v>1</v>
          </cell>
          <cell r="G943">
            <v>0.41793000000000002</v>
          </cell>
          <cell r="H943">
            <v>0.29421000000000003</v>
          </cell>
          <cell r="I943">
            <v>1.33E-3</v>
          </cell>
          <cell r="J943">
            <v>4.7499999999999999E-3</v>
          </cell>
          <cell r="K943">
            <v>6.9999999999999994E-5</v>
          </cell>
          <cell r="L943">
            <v>0.13929</v>
          </cell>
          <cell r="M943">
            <v>9.5439999999999997E-2</v>
          </cell>
          <cell r="N943">
            <v>3.49E-3</v>
          </cell>
          <cell r="O943">
            <v>4.2099999999999999E-2</v>
          </cell>
          <cell r="P943">
            <v>1.4E-3</v>
          </cell>
          <cell r="Q943">
            <v>0</v>
          </cell>
          <cell r="R943">
            <v>1.0000100000000001</v>
          </cell>
          <cell r="S943">
            <v>-1.0000000000065512E-5</v>
          </cell>
        </row>
        <row r="944">
          <cell r="E944" t="str">
            <v>DE49</v>
          </cell>
          <cell r="F944">
            <v>1</v>
          </cell>
          <cell r="G944">
            <v>0.41778999999999999</v>
          </cell>
          <cell r="H944">
            <v>0.29422999999999999</v>
          </cell>
          <cell r="I944">
            <v>1.3600000000000001E-3</v>
          </cell>
          <cell r="J944">
            <v>4.79E-3</v>
          </cell>
          <cell r="K944">
            <v>6.9999999999999994E-5</v>
          </cell>
          <cell r="L944">
            <v>0.13929</v>
          </cell>
          <cell r="M944">
            <v>9.5439999999999997E-2</v>
          </cell>
          <cell r="N944">
            <v>3.48E-3</v>
          </cell>
          <cell r="O944">
            <v>4.2079999999999999E-2</v>
          </cell>
          <cell r="P944">
            <v>1.4300000000000001E-3</v>
          </cell>
          <cell r="Q944">
            <v>4.0000000000000003E-5</v>
          </cell>
          <cell r="R944">
            <v>1</v>
          </cell>
          <cell r="S944">
            <v>0</v>
          </cell>
        </row>
        <row r="947">
          <cell r="E947" t="str">
            <v>L529</v>
          </cell>
          <cell r="F947">
            <v>1</v>
          </cell>
          <cell r="G947">
            <v>0.41778999999999999</v>
          </cell>
          <cell r="H947">
            <v>0.29422999999999999</v>
          </cell>
          <cell r="I947">
            <v>1.3600000000000001E-3</v>
          </cell>
          <cell r="J947">
            <v>4.79E-3</v>
          </cell>
          <cell r="K947">
            <v>6.9999999999999994E-5</v>
          </cell>
          <cell r="L947">
            <v>0.13929</v>
          </cell>
          <cell r="M947">
            <v>9.5439999999999997E-2</v>
          </cell>
          <cell r="N947">
            <v>3.48E-3</v>
          </cell>
          <cell r="O947">
            <v>4.2079999999999999E-2</v>
          </cell>
          <cell r="P947">
            <v>1.4300000000000001E-3</v>
          </cell>
          <cell r="Q947">
            <v>4.0000000000000003E-5</v>
          </cell>
          <cell r="R947">
            <v>1</v>
          </cell>
          <cell r="S947">
            <v>0</v>
          </cell>
        </row>
        <row r="948">
          <cell r="E948" t="str">
            <v>L589</v>
          </cell>
          <cell r="F948">
            <v>1</v>
          </cell>
          <cell r="G948">
            <v>0.41776999999999997</v>
          </cell>
          <cell r="H948">
            <v>0.29424</v>
          </cell>
          <cell r="I948">
            <v>1.3699999999999999E-3</v>
          </cell>
          <cell r="J948">
            <v>4.79E-3</v>
          </cell>
          <cell r="K948">
            <v>8.0000000000000007E-5</v>
          </cell>
          <cell r="L948">
            <v>0.13929</v>
          </cell>
          <cell r="M948">
            <v>9.5439999999999997E-2</v>
          </cell>
          <cell r="N948">
            <v>3.48E-3</v>
          </cell>
          <cell r="O948">
            <v>4.2079999999999999E-2</v>
          </cell>
          <cell r="P948">
            <v>1.42E-3</v>
          </cell>
          <cell r="Q948">
            <v>4.0000000000000003E-5</v>
          </cell>
          <cell r="R948">
            <v>1</v>
          </cell>
          <cell r="S948">
            <v>0</v>
          </cell>
        </row>
        <row r="949">
          <cell r="E949" t="str">
            <v>L599</v>
          </cell>
          <cell r="F949">
            <v>1</v>
          </cell>
          <cell r="G949">
            <v>0.41761999999999999</v>
          </cell>
          <cell r="H949">
            <v>0.29424</v>
          </cell>
          <cell r="I949">
            <v>1.3699999999999999E-3</v>
          </cell>
          <cell r="J949">
            <v>4.7699999999999999E-3</v>
          </cell>
          <cell r="K949">
            <v>6.9999999999999994E-5</v>
          </cell>
          <cell r="L949">
            <v>0.13938</v>
          </cell>
          <cell r="M949">
            <v>9.5479999999999995E-2</v>
          </cell>
          <cell r="N949">
            <v>3.48E-3</v>
          </cell>
          <cell r="O949">
            <v>4.2090000000000002E-2</v>
          </cell>
          <cell r="P949">
            <v>1.47E-3</v>
          </cell>
          <cell r="Q949">
            <v>4.0000000000000003E-5</v>
          </cell>
          <cell r="R949">
            <v>1.0000100000000001</v>
          </cell>
          <cell r="S949">
            <v>-1.0000000000065512E-5</v>
          </cell>
        </row>
        <row r="950">
          <cell r="E950" t="str">
            <v>OP69</v>
          </cell>
          <cell r="F950">
            <v>1</v>
          </cell>
          <cell r="G950">
            <v>0.41778999999999999</v>
          </cell>
          <cell r="H950">
            <v>0.29422999999999999</v>
          </cell>
          <cell r="I950">
            <v>1.3600000000000001E-3</v>
          </cell>
          <cell r="J950">
            <v>4.79E-3</v>
          </cell>
          <cell r="K950">
            <v>6.9999999999999994E-5</v>
          </cell>
          <cell r="L950">
            <v>0.13929</v>
          </cell>
          <cell r="M950">
            <v>9.5439999999999997E-2</v>
          </cell>
          <cell r="N950">
            <v>3.48E-3</v>
          </cell>
          <cell r="O950">
            <v>4.2079999999999999E-2</v>
          </cell>
          <cell r="P950">
            <v>1.4300000000000001E-3</v>
          </cell>
          <cell r="Q950">
            <v>4.0000000000000003E-5</v>
          </cell>
          <cell r="R950">
            <v>1</v>
          </cell>
          <cell r="S950">
            <v>0</v>
          </cell>
        </row>
        <row r="953">
          <cell r="E953" t="str">
            <v>CS09</v>
          </cell>
          <cell r="F953">
            <v>1</v>
          </cell>
          <cell r="G953">
            <v>0.41778700400000002</v>
          </cell>
          <cell r="H953">
            <v>0.29423025400000002</v>
          </cell>
          <cell r="I953">
            <v>1.3600979999999999E-3</v>
          </cell>
          <cell r="J953">
            <v>4.7895460000000004E-3</v>
          </cell>
          <cell r="K953">
            <v>6.9926999999999996E-5</v>
          </cell>
          <cell r="L953">
            <v>0.139291629</v>
          </cell>
          <cell r="M953">
            <v>9.5440769999999994E-2</v>
          </cell>
          <cell r="N953">
            <v>3.479991E-3</v>
          </cell>
          <cell r="O953">
            <v>4.2080271000000002E-2</v>
          </cell>
          <cell r="P953">
            <v>1.430646E-3</v>
          </cell>
          <cell r="Q953">
            <v>3.9864000000000003E-5</v>
          </cell>
          <cell r="R953">
            <v>1</v>
          </cell>
          <cell r="S953">
            <v>0</v>
          </cell>
        </row>
      </sheetData>
      <sheetData sheetId="10">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row>
        <row r="825">
          <cell r="E825" t="str">
            <v>K209</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11</v>
          </cell>
          <cell r="P840">
            <v>394</v>
          </cell>
          <cell r="Q840">
            <v>11</v>
          </cell>
          <cell r="R840">
            <v>140010</v>
          </cell>
          <cell r="S840">
            <v>4</v>
          </cell>
        </row>
        <row r="841">
          <cell r="E841" t="str">
            <v>K405</v>
          </cell>
          <cell r="F841">
            <v>1</v>
          </cell>
          <cell r="G841">
            <v>0.90183000000000002</v>
          </cell>
          <cell r="H841">
            <v>9.1660000000000005E-2</v>
          </cell>
          <cell r="I841">
            <v>1.2199999999999999E-3</v>
          </cell>
          <cell r="J841">
            <v>7.3999999999999999E-4</v>
          </cell>
          <cell r="K841">
            <v>1.1E-4</v>
          </cell>
          <cell r="L841">
            <v>1.1000000000000001E-3</v>
          </cell>
          <cell r="M841">
            <v>2.5999999999999998E-4</v>
          </cell>
          <cell r="N841">
            <v>6.9999999999999994E-5</v>
          </cell>
          <cell r="O841">
            <v>8.0000000000000007E-5</v>
          </cell>
          <cell r="P841">
            <v>2.81E-3</v>
          </cell>
          <cell r="Q841">
            <v>8.0000000000000007E-5</v>
          </cell>
          <cell r="R841">
            <v>0.99995999999999996</v>
          </cell>
          <cell r="S841">
            <v>4.0000000000040004E-5</v>
          </cell>
        </row>
        <row r="842">
          <cell r="F842">
            <v>6350638</v>
          </cell>
          <cell r="G842">
            <v>3299927</v>
          </cell>
          <cell r="H842">
            <v>2696699</v>
          </cell>
          <cell r="I842">
            <v>0</v>
          </cell>
          <cell r="J842">
            <v>22657</v>
          </cell>
          <cell r="K842">
            <v>2715</v>
          </cell>
          <cell r="L842">
            <v>125418</v>
          </cell>
          <cell r="M842">
            <v>0</v>
          </cell>
          <cell r="N842">
            <v>10654</v>
          </cell>
          <cell r="O842">
            <v>16048</v>
          </cell>
          <cell r="P842">
            <v>0</v>
          </cell>
          <cell r="Q842">
            <v>176520</v>
          </cell>
          <cell r="R842">
            <v>6350638</v>
          </cell>
          <cell r="S842">
            <v>0</v>
          </cell>
        </row>
        <row r="843">
          <cell r="E843" t="str">
            <v>K407</v>
          </cell>
          <cell r="F843">
            <v>1</v>
          </cell>
          <cell r="G843">
            <v>0.51961000000000002</v>
          </cell>
          <cell r="H843">
            <v>0.42463000000000001</v>
          </cell>
          <cell r="I843">
            <v>0</v>
          </cell>
          <cell r="J843">
            <v>3.5699999999999998E-3</v>
          </cell>
          <cell r="K843">
            <v>4.2999999999999999E-4</v>
          </cell>
          <cell r="L843">
            <v>1.975E-2</v>
          </cell>
          <cell r="M843">
            <v>0</v>
          </cell>
          <cell r="N843">
            <v>1.6800000000000001E-3</v>
          </cell>
          <cell r="O843">
            <v>2.5300000000000001E-3</v>
          </cell>
          <cell r="P843">
            <v>0</v>
          </cell>
          <cell r="Q843">
            <v>2.7799999999999998E-2</v>
          </cell>
          <cell r="R843">
            <v>1</v>
          </cell>
          <cell r="S843">
            <v>0</v>
          </cell>
        </row>
        <row r="844">
          <cell r="F844">
            <v>243058</v>
          </cell>
          <cell r="G844">
            <v>126269</v>
          </cell>
          <cell r="H844">
            <v>102622</v>
          </cell>
          <cell r="I844">
            <v>171</v>
          </cell>
          <cell r="J844">
            <v>832</v>
          </cell>
          <cell r="K844">
            <v>112</v>
          </cell>
          <cell r="L844">
            <v>4804</v>
          </cell>
          <cell r="M844">
            <v>37</v>
          </cell>
          <cell r="N844">
            <v>410</v>
          </cell>
          <cell r="O844">
            <v>620</v>
          </cell>
          <cell r="P844">
            <v>394</v>
          </cell>
          <cell r="Q844">
            <v>6787</v>
          </cell>
          <cell r="R844">
            <v>243058</v>
          </cell>
          <cell r="S844">
            <v>0</v>
          </cell>
        </row>
        <row r="845">
          <cell r="E845" t="str">
            <v>K409</v>
          </cell>
          <cell r="F845">
            <v>1</v>
          </cell>
          <cell r="G845">
            <v>0.51951999999999998</v>
          </cell>
          <cell r="H845">
            <v>0.42220999999999997</v>
          </cell>
          <cell r="I845">
            <v>6.9999999999999999E-4</v>
          </cell>
          <cell r="J845">
            <v>3.4199999999999999E-3</v>
          </cell>
          <cell r="K845">
            <v>4.6000000000000001E-4</v>
          </cell>
          <cell r="L845">
            <v>1.976E-2</v>
          </cell>
          <cell r="M845">
            <v>1.4999999999999999E-4</v>
          </cell>
          <cell r="N845">
            <v>1.6900000000000001E-3</v>
          </cell>
          <cell r="O845">
            <v>2.5500000000000002E-3</v>
          </cell>
          <cell r="P845">
            <v>1.6199999999999999E-3</v>
          </cell>
          <cell r="Q845">
            <v>2.792E-2</v>
          </cell>
          <cell r="R845">
            <v>1</v>
          </cell>
          <cell r="S845">
            <v>0</v>
          </cell>
        </row>
        <row r="846">
          <cell r="F846">
            <v>1498164.3299999998</v>
          </cell>
          <cell r="G846">
            <v>1370864</v>
          </cell>
          <cell r="H846">
            <v>62282.329999999842</v>
          </cell>
          <cell r="I846">
            <v>409</v>
          </cell>
          <cell r="J846">
            <v>432</v>
          </cell>
          <cell r="K846">
            <v>20</v>
          </cell>
          <cell r="L846">
            <v>31779</v>
          </cell>
          <cell r="M846">
            <v>21269</v>
          </cell>
          <cell r="N846">
            <v>642</v>
          </cell>
          <cell r="O846">
            <v>9153</v>
          </cell>
          <cell r="P846">
            <v>1309</v>
          </cell>
          <cell r="Q846">
            <v>5</v>
          </cell>
          <cell r="R846">
            <v>1498164.3299999998</v>
          </cell>
          <cell r="S846">
            <v>0</v>
          </cell>
        </row>
        <row r="847">
          <cell r="E847" t="str">
            <v>K411</v>
          </cell>
          <cell r="F847">
            <v>1</v>
          </cell>
          <cell r="G847">
            <v>0.91503999999999996</v>
          </cell>
          <cell r="H847">
            <v>4.1570000000000003E-2</v>
          </cell>
          <cell r="I847">
            <v>2.7E-4</v>
          </cell>
          <cell r="J847">
            <v>2.9E-4</v>
          </cell>
          <cell r="K847">
            <v>1.0000000000000001E-5</v>
          </cell>
          <cell r="L847">
            <v>2.121E-2</v>
          </cell>
          <cell r="M847">
            <v>1.4200000000000001E-2</v>
          </cell>
          <cell r="N847">
            <v>4.2999999999999999E-4</v>
          </cell>
          <cell r="O847">
            <v>6.11E-3</v>
          </cell>
          <cell r="P847">
            <v>8.7000000000000001E-4</v>
          </cell>
          <cell r="Q847">
            <v>0</v>
          </cell>
          <cell r="R847">
            <v>0.99999999999999989</v>
          </cell>
          <cell r="S847">
            <v>0</v>
          </cell>
        </row>
        <row r="848">
          <cell r="F848">
            <v>4178319049</v>
          </cell>
          <cell r="G848">
            <v>1508499412</v>
          </cell>
          <cell r="H848">
            <v>1170020285</v>
          </cell>
          <cell r="I848">
            <v>6457090</v>
          </cell>
          <cell r="J848">
            <v>19810437</v>
          </cell>
          <cell r="K848">
            <v>277908</v>
          </cell>
          <cell r="L848">
            <v>703656372</v>
          </cell>
          <cell r="M848">
            <v>514497482</v>
          </cell>
          <cell r="N848">
            <v>16235892</v>
          </cell>
          <cell r="O848">
            <v>218940404</v>
          </cell>
          <cell r="P848">
            <v>19741342</v>
          </cell>
          <cell r="Q848">
            <v>182425</v>
          </cell>
          <cell r="R848">
            <v>4178319049</v>
          </cell>
          <cell r="S848">
            <v>0</v>
          </cell>
        </row>
        <row r="849">
          <cell r="E849" t="str">
            <v>K302</v>
          </cell>
          <cell r="F849">
            <v>1</v>
          </cell>
          <cell r="G849">
            <v>0.36102000000000001</v>
          </cell>
          <cell r="H849">
            <v>0.28001999999999999</v>
          </cell>
          <cell r="I849">
            <v>1.5499999999999999E-3</v>
          </cell>
          <cell r="J849">
            <v>4.7400000000000003E-3</v>
          </cell>
          <cell r="K849">
            <v>6.9999999999999994E-5</v>
          </cell>
          <cell r="L849">
            <v>0.16841</v>
          </cell>
          <cell r="M849">
            <v>0.12314</v>
          </cell>
          <cell r="N849">
            <v>3.8899999999999998E-3</v>
          </cell>
          <cell r="O849">
            <v>5.2400000000000002E-2</v>
          </cell>
          <cell r="P849">
            <v>4.7200000000000002E-3</v>
          </cell>
          <cell r="Q849">
            <v>4.0000000000000003E-5</v>
          </cell>
          <cell r="R849">
            <v>1</v>
          </cell>
          <cell r="S849">
            <v>0</v>
          </cell>
        </row>
        <row r="851">
          <cell r="E851" t="str">
            <v>R600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row>
        <row r="852">
          <cell r="E852" t="str">
            <v>R602</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row>
        <row r="854">
          <cell r="R854" t="str">
            <v>FR-16(7)(v)-8</v>
          </cell>
        </row>
        <row r="855">
          <cell r="R855" t="str">
            <v>WITNESS RESPONSIBLE:</v>
          </cell>
        </row>
        <row r="856">
          <cell r="R856" t="str">
            <v>JAMES E. ZIOLKOWSKI</v>
          </cell>
        </row>
        <row r="857">
          <cell r="R857" t="str">
            <v>PAGE 17 OF 18</v>
          </cell>
        </row>
        <row r="860">
          <cell r="F860" t="str">
            <v>TOTAL</v>
          </cell>
          <cell r="H860" t="str">
            <v>DS</v>
          </cell>
          <cell r="I860" t="str">
            <v>GSFL</v>
          </cell>
          <cell r="J860" t="str">
            <v>EH</v>
          </cell>
          <cell r="K860" t="str">
            <v>SP</v>
          </cell>
          <cell r="L860" t="str">
            <v>DT SEC</v>
          </cell>
          <cell r="M860" t="str">
            <v>DT PRI</v>
          </cell>
          <cell r="N860" t="str">
            <v>DP</v>
          </cell>
          <cell r="O860" t="str">
            <v>TT</v>
          </cell>
          <cell r="Q860" t="str">
            <v>OTHER</v>
          </cell>
        </row>
        <row r="861">
          <cell r="F861" t="str">
            <v>TRANSMISSION</v>
          </cell>
          <cell r="G861" t="str">
            <v>RS</v>
          </cell>
          <cell r="H861" t="str">
            <v>SECONDARY</v>
          </cell>
          <cell r="I861" t="str">
            <v>SECONDARY</v>
          </cell>
          <cell r="J861" t="str">
            <v>SECONDARY</v>
          </cell>
          <cell r="K861" t="str">
            <v>SECONDARY</v>
          </cell>
          <cell r="L861" t="str">
            <v>SECONDARY</v>
          </cell>
          <cell r="M861" t="str">
            <v>PRIMARY</v>
          </cell>
          <cell r="N861" t="str">
            <v>PRIMARY</v>
          </cell>
          <cell r="O861" t="str">
            <v>TRANSMISSION</v>
          </cell>
          <cell r="P861" t="str">
            <v>LT</v>
          </cell>
          <cell r="Q861" t="str">
            <v>WATER</v>
          </cell>
          <cell r="R861" t="str">
            <v>TOTAL</v>
          </cell>
          <cell r="S861" t="str">
            <v>ALL</v>
          </cell>
        </row>
        <row r="862">
          <cell r="E862" t="str">
            <v>ALLO</v>
          </cell>
          <cell r="F862" t="str">
            <v>ENERGY</v>
          </cell>
          <cell r="G862" t="str">
            <v>RESIDENTIAL</v>
          </cell>
          <cell r="H862" t="str">
            <v>DISTRIBUTION</v>
          </cell>
          <cell r="I862" t="str">
            <v>DISTRIBUTION</v>
          </cell>
          <cell r="J862" t="str">
            <v>DISTRIBUTION</v>
          </cell>
          <cell r="K862" t="str">
            <v>DISTRIBUTION</v>
          </cell>
          <cell r="L862" t="str">
            <v>DISTRIBUTION</v>
          </cell>
          <cell r="M862" t="str">
            <v>DISTRIBUTION</v>
          </cell>
          <cell r="N862" t="str">
            <v>DISTRIBUTION</v>
          </cell>
          <cell r="O862" t="str">
            <v>TIME OF DAY</v>
          </cell>
          <cell r="P862" t="str">
            <v>LIGHTING</v>
          </cell>
          <cell r="Q862" t="str">
            <v>PUMPING</v>
          </cell>
          <cell r="R862" t="str">
            <v>AT ISSUE</v>
          </cell>
          <cell r="S862" t="str">
            <v>OTHER</v>
          </cell>
        </row>
        <row r="863">
          <cell r="E863">
            <v>1</v>
          </cell>
          <cell r="G863">
            <v>3</v>
          </cell>
          <cell r="H863">
            <v>4</v>
          </cell>
          <cell r="I863">
            <v>5</v>
          </cell>
          <cell r="J863">
            <v>6</v>
          </cell>
          <cell r="K863">
            <v>7</v>
          </cell>
          <cell r="L863">
            <v>8</v>
          </cell>
          <cell r="M863">
            <v>9</v>
          </cell>
          <cell r="N863">
            <v>10</v>
          </cell>
          <cell r="O863">
            <v>11</v>
          </cell>
          <cell r="P863">
            <v>12</v>
          </cell>
          <cell r="Q863">
            <v>13</v>
          </cell>
          <cell r="S863" t="str">
            <v xml:space="preserve"> </v>
          </cell>
        </row>
        <row r="865">
          <cell r="F865">
            <v>304312778</v>
          </cell>
          <cell r="G865">
            <v>120391018</v>
          </cell>
          <cell r="H865">
            <v>89967454</v>
          </cell>
          <cell r="I865">
            <v>589997</v>
          </cell>
          <cell r="J865">
            <v>623628</v>
          </cell>
          <cell r="K865">
            <v>28730</v>
          </cell>
          <cell r="L865">
            <v>45903624</v>
          </cell>
          <cell r="M865">
            <v>30722085</v>
          </cell>
          <cell r="N865">
            <v>926746</v>
          </cell>
          <cell r="O865">
            <v>13220511</v>
          </cell>
          <cell r="P865">
            <v>1889364</v>
          </cell>
          <cell r="Q865">
            <v>7414</v>
          </cell>
          <cell r="R865">
            <v>304270571</v>
          </cell>
          <cell r="S865">
            <v>42207</v>
          </cell>
        </row>
        <row r="866">
          <cell r="E866" t="str">
            <v>K901</v>
          </cell>
          <cell r="F866">
            <v>1</v>
          </cell>
          <cell r="G866">
            <v>0.39562000000000003</v>
          </cell>
          <cell r="H866">
            <v>0.295641394</v>
          </cell>
          <cell r="I866">
            <v>1.9387849999999999E-3</v>
          </cell>
          <cell r="J866">
            <v>2.0492990000000001E-3</v>
          </cell>
          <cell r="K866">
            <v>9.4408999999999997E-5</v>
          </cell>
          <cell r="L866">
            <v>0.15084356400000001</v>
          </cell>
          <cell r="M866">
            <v>0.100955619</v>
          </cell>
          <cell r="N866">
            <v>3.0453730000000001E-3</v>
          </cell>
          <cell r="O866">
            <v>4.3443824999999998E-2</v>
          </cell>
          <cell r="P866">
            <v>6.2086249999999997E-3</v>
          </cell>
          <cell r="Q866">
            <v>2.4363E-5</v>
          </cell>
          <cell r="R866">
            <v>0.99986525599999998</v>
          </cell>
          <cell r="S866">
            <v>1.3474400000001996E-4</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K902</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72">
          <cell r="E872" t="str">
            <v>P129</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row>
        <row r="873">
          <cell r="E873" t="str">
            <v>T129</v>
          </cell>
          <cell r="F873">
            <v>1</v>
          </cell>
          <cell r="G873">
            <v>1</v>
          </cell>
          <cell r="H873">
            <v>0</v>
          </cell>
          <cell r="I873">
            <v>0</v>
          </cell>
          <cell r="J873">
            <v>0</v>
          </cell>
          <cell r="K873">
            <v>0</v>
          </cell>
          <cell r="L873">
            <v>0</v>
          </cell>
          <cell r="M873">
            <v>0</v>
          </cell>
          <cell r="N873">
            <v>0</v>
          </cell>
          <cell r="O873">
            <v>0</v>
          </cell>
          <cell r="P873">
            <v>0</v>
          </cell>
          <cell r="Q873">
            <v>0</v>
          </cell>
          <cell r="R873">
            <v>1</v>
          </cell>
          <cell r="S873">
            <v>0</v>
          </cell>
        </row>
        <row r="874">
          <cell r="E874" t="str">
            <v>PT29</v>
          </cell>
          <cell r="F874">
            <v>1</v>
          </cell>
          <cell r="G874">
            <v>1</v>
          </cell>
          <cell r="H874">
            <v>0</v>
          </cell>
          <cell r="I874">
            <v>0</v>
          </cell>
          <cell r="J874">
            <v>0</v>
          </cell>
          <cell r="K874">
            <v>0</v>
          </cell>
          <cell r="L874">
            <v>0</v>
          </cell>
          <cell r="M874">
            <v>0</v>
          </cell>
          <cell r="N874">
            <v>0</v>
          </cell>
          <cell r="O874">
            <v>0</v>
          </cell>
          <cell r="P874">
            <v>0</v>
          </cell>
          <cell r="Q874">
            <v>0</v>
          </cell>
          <cell r="R874">
            <v>1</v>
          </cell>
          <cell r="S874">
            <v>0</v>
          </cell>
        </row>
        <row r="875">
          <cell r="E875" t="str">
            <v>D149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TD29</v>
          </cell>
          <cell r="F876">
            <v>1</v>
          </cell>
          <cell r="G876">
            <v>1</v>
          </cell>
          <cell r="H876">
            <v>0</v>
          </cell>
          <cell r="I876">
            <v>0</v>
          </cell>
          <cell r="J876">
            <v>0</v>
          </cell>
          <cell r="K876">
            <v>0</v>
          </cell>
          <cell r="L876">
            <v>0</v>
          </cell>
          <cell r="M876">
            <v>0</v>
          </cell>
          <cell r="N876">
            <v>0</v>
          </cell>
          <cell r="O876">
            <v>0</v>
          </cell>
          <cell r="P876">
            <v>0</v>
          </cell>
          <cell r="Q876">
            <v>0</v>
          </cell>
          <cell r="R876">
            <v>1</v>
          </cell>
          <cell r="S876">
            <v>0</v>
          </cell>
        </row>
        <row r="877">
          <cell r="E877" t="str">
            <v>PD29</v>
          </cell>
          <cell r="F877">
            <v>1</v>
          </cell>
          <cell r="G877">
            <v>1</v>
          </cell>
          <cell r="H877">
            <v>0</v>
          </cell>
          <cell r="I877">
            <v>0</v>
          </cell>
          <cell r="J877">
            <v>0</v>
          </cell>
          <cell r="K877">
            <v>0</v>
          </cell>
          <cell r="L877">
            <v>0</v>
          </cell>
          <cell r="M877">
            <v>0</v>
          </cell>
          <cell r="N877">
            <v>0</v>
          </cell>
          <cell r="O877">
            <v>0</v>
          </cell>
          <cell r="P877">
            <v>0</v>
          </cell>
          <cell r="Q877">
            <v>0</v>
          </cell>
          <cell r="R877">
            <v>1</v>
          </cell>
          <cell r="S877">
            <v>0</v>
          </cell>
        </row>
        <row r="878">
          <cell r="E878" t="str">
            <v>G129</v>
          </cell>
          <cell r="F878">
            <v>1</v>
          </cell>
          <cell r="G878">
            <v>1</v>
          </cell>
          <cell r="H878">
            <v>0</v>
          </cell>
          <cell r="I878">
            <v>0</v>
          </cell>
          <cell r="J878">
            <v>0</v>
          </cell>
          <cell r="K878">
            <v>0</v>
          </cell>
          <cell r="L878">
            <v>0</v>
          </cell>
          <cell r="M878">
            <v>0</v>
          </cell>
          <cell r="N878">
            <v>0</v>
          </cell>
          <cell r="O878">
            <v>0</v>
          </cell>
          <cell r="P878">
            <v>0</v>
          </cell>
          <cell r="Q878">
            <v>0</v>
          </cell>
          <cell r="R878">
            <v>1</v>
          </cell>
          <cell r="S878">
            <v>0</v>
          </cell>
        </row>
        <row r="879">
          <cell r="E879" t="str">
            <v>C129</v>
          </cell>
          <cell r="F879">
            <v>1</v>
          </cell>
          <cell r="G879">
            <v>1</v>
          </cell>
          <cell r="H879">
            <v>0</v>
          </cell>
          <cell r="I879">
            <v>0</v>
          </cell>
          <cell r="J879">
            <v>0</v>
          </cell>
          <cell r="K879">
            <v>0</v>
          </cell>
          <cell r="L879">
            <v>0</v>
          </cell>
          <cell r="M879">
            <v>0</v>
          </cell>
          <cell r="N879">
            <v>0</v>
          </cell>
          <cell r="O879">
            <v>0</v>
          </cell>
          <cell r="P879">
            <v>0</v>
          </cell>
          <cell r="Q879">
            <v>0</v>
          </cell>
          <cell r="R879">
            <v>1</v>
          </cell>
          <cell r="S879">
            <v>0</v>
          </cell>
        </row>
        <row r="880">
          <cell r="E880" t="str">
            <v>GP19</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row>
        <row r="881">
          <cell r="E881" t="str">
            <v>DR19</v>
          </cell>
          <cell r="F881">
            <v>1</v>
          </cell>
          <cell r="G881">
            <v>1</v>
          </cell>
          <cell r="H881">
            <v>0</v>
          </cell>
          <cell r="I881">
            <v>0</v>
          </cell>
          <cell r="J881">
            <v>0</v>
          </cell>
          <cell r="K881">
            <v>0</v>
          </cell>
          <cell r="L881">
            <v>0</v>
          </cell>
          <cell r="M881">
            <v>0</v>
          </cell>
          <cell r="N881">
            <v>0</v>
          </cell>
          <cell r="O881">
            <v>0</v>
          </cell>
          <cell r="P881">
            <v>0</v>
          </cell>
          <cell r="Q881">
            <v>0</v>
          </cell>
          <cell r="R881">
            <v>1</v>
          </cell>
          <cell r="S881">
            <v>0</v>
          </cell>
        </row>
        <row r="884">
          <cell r="E884" t="str">
            <v>P229</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row>
        <row r="885">
          <cell r="E885" t="str">
            <v>T229</v>
          </cell>
          <cell r="F885">
            <v>1</v>
          </cell>
          <cell r="G885">
            <v>1</v>
          </cell>
          <cell r="H885">
            <v>0</v>
          </cell>
          <cell r="I885">
            <v>0</v>
          </cell>
          <cell r="J885">
            <v>0</v>
          </cell>
          <cell r="K885">
            <v>0</v>
          </cell>
          <cell r="L885">
            <v>0</v>
          </cell>
          <cell r="M885">
            <v>0</v>
          </cell>
          <cell r="N885">
            <v>0</v>
          </cell>
          <cell r="O885">
            <v>0</v>
          </cell>
          <cell r="P885">
            <v>0</v>
          </cell>
          <cell r="Q885">
            <v>0</v>
          </cell>
          <cell r="R885">
            <v>1</v>
          </cell>
          <cell r="S885">
            <v>0</v>
          </cell>
        </row>
        <row r="886">
          <cell r="E886" t="str">
            <v>PL49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D249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NT29</v>
          </cell>
          <cell r="F888">
            <v>1</v>
          </cell>
          <cell r="G888">
            <v>1</v>
          </cell>
          <cell r="H888">
            <v>0</v>
          </cell>
          <cell r="I888">
            <v>0</v>
          </cell>
          <cell r="J888">
            <v>0</v>
          </cell>
          <cell r="K888">
            <v>0</v>
          </cell>
          <cell r="L888">
            <v>0</v>
          </cell>
          <cell r="M888">
            <v>0</v>
          </cell>
          <cell r="N888">
            <v>0</v>
          </cell>
          <cell r="O888">
            <v>0</v>
          </cell>
          <cell r="P888">
            <v>0</v>
          </cell>
          <cell r="Q888">
            <v>0</v>
          </cell>
          <cell r="R888">
            <v>1</v>
          </cell>
          <cell r="S888">
            <v>0</v>
          </cell>
        </row>
        <row r="889">
          <cell r="E889" t="str">
            <v>G229</v>
          </cell>
          <cell r="F889">
            <v>1</v>
          </cell>
          <cell r="G889">
            <v>1</v>
          </cell>
          <cell r="H889">
            <v>0</v>
          </cell>
          <cell r="I889">
            <v>0</v>
          </cell>
          <cell r="J889">
            <v>0</v>
          </cell>
          <cell r="K889">
            <v>0</v>
          </cell>
          <cell r="L889">
            <v>0</v>
          </cell>
          <cell r="M889">
            <v>0</v>
          </cell>
          <cell r="N889">
            <v>0</v>
          </cell>
          <cell r="O889">
            <v>0</v>
          </cell>
          <cell r="P889">
            <v>0</v>
          </cell>
          <cell r="Q889">
            <v>0</v>
          </cell>
          <cell r="R889">
            <v>1</v>
          </cell>
          <cell r="S889">
            <v>0</v>
          </cell>
        </row>
        <row r="890">
          <cell r="E890" t="str">
            <v>C229</v>
          </cell>
          <cell r="F890">
            <v>1</v>
          </cell>
          <cell r="G890">
            <v>1</v>
          </cell>
          <cell r="H890">
            <v>0</v>
          </cell>
          <cell r="I890">
            <v>0</v>
          </cell>
          <cell r="J890">
            <v>0</v>
          </cell>
          <cell r="K890">
            <v>0</v>
          </cell>
          <cell r="L890">
            <v>0</v>
          </cell>
          <cell r="M890">
            <v>0</v>
          </cell>
          <cell r="N890">
            <v>0</v>
          </cell>
          <cell r="O890">
            <v>0</v>
          </cell>
          <cell r="P890">
            <v>0</v>
          </cell>
          <cell r="Q890">
            <v>0</v>
          </cell>
          <cell r="R890">
            <v>1</v>
          </cell>
          <cell r="S890">
            <v>0</v>
          </cell>
        </row>
        <row r="891">
          <cell r="E891" t="str">
            <v>NP29</v>
          </cell>
          <cell r="F891">
            <v>1</v>
          </cell>
          <cell r="G891">
            <v>1</v>
          </cell>
          <cell r="H891">
            <v>0</v>
          </cell>
          <cell r="I891">
            <v>0</v>
          </cell>
          <cell r="J891">
            <v>0</v>
          </cell>
          <cell r="K891">
            <v>0</v>
          </cell>
          <cell r="L891">
            <v>0</v>
          </cell>
          <cell r="M891">
            <v>0</v>
          </cell>
          <cell r="N891">
            <v>0</v>
          </cell>
          <cell r="O891">
            <v>0</v>
          </cell>
          <cell r="P891">
            <v>0</v>
          </cell>
          <cell r="Q891">
            <v>0</v>
          </cell>
          <cell r="R891">
            <v>1</v>
          </cell>
          <cell r="S891">
            <v>0</v>
          </cell>
        </row>
        <row r="894">
          <cell r="E894" t="str">
            <v>W669</v>
          </cell>
          <cell r="F894">
            <v>1</v>
          </cell>
          <cell r="G894">
            <v>1</v>
          </cell>
          <cell r="H894">
            <v>0</v>
          </cell>
          <cell r="I894">
            <v>0</v>
          </cell>
          <cell r="J894">
            <v>0</v>
          </cell>
          <cell r="K894">
            <v>0</v>
          </cell>
          <cell r="L894">
            <v>0</v>
          </cell>
          <cell r="M894">
            <v>0</v>
          </cell>
          <cell r="N894">
            <v>0</v>
          </cell>
          <cell r="O894">
            <v>0</v>
          </cell>
          <cell r="P894">
            <v>0</v>
          </cell>
          <cell r="Q894">
            <v>0</v>
          </cell>
          <cell r="R894">
            <v>1</v>
          </cell>
          <cell r="S894">
            <v>0</v>
          </cell>
        </row>
        <row r="895">
          <cell r="E895" t="str">
            <v>W689</v>
          </cell>
          <cell r="F895">
            <v>1</v>
          </cell>
          <cell r="G895">
            <v>1</v>
          </cell>
          <cell r="H895">
            <v>0</v>
          </cell>
          <cell r="I895">
            <v>0</v>
          </cell>
          <cell r="J895">
            <v>0</v>
          </cell>
          <cell r="K895">
            <v>0</v>
          </cell>
          <cell r="L895">
            <v>0</v>
          </cell>
          <cell r="M895">
            <v>0</v>
          </cell>
          <cell r="N895">
            <v>0</v>
          </cell>
          <cell r="O895">
            <v>0</v>
          </cell>
          <cell r="P895">
            <v>0</v>
          </cell>
          <cell r="Q895">
            <v>0</v>
          </cell>
          <cell r="R895">
            <v>1</v>
          </cell>
          <cell r="S895">
            <v>0</v>
          </cell>
        </row>
        <row r="896">
          <cell r="E896" t="str">
            <v>W719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W749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WC79</v>
          </cell>
          <cell r="F898">
            <v>1</v>
          </cell>
          <cell r="G898">
            <v>1</v>
          </cell>
          <cell r="H898">
            <v>0</v>
          </cell>
          <cell r="I898">
            <v>0</v>
          </cell>
          <cell r="J898">
            <v>0</v>
          </cell>
          <cell r="K898">
            <v>0</v>
          </cell>
          <cell r="L898">
            <v>0</v>
          </cell>
          <cell r="M898">
            <v>0</v>
          </cell>
          <cell r="N898">
            <v>0</v>
          </cell>
          <cell r="O898">
            <v>0</v>
          </cell>
          <cell r="P898">
            <v>0</v>
          </cell>
          <cell r="Q898">
            <v>0</v>
          </cell>
          <cell r="R898">
            <v>1</v>
          </cell>
          <cell r="S898">
            <v>0</v>
          </cell>
        </row>
        <row r="901">
          <cell r="E901" t="str">
            <v>RB29</v>
          </cell>
          <cell r="F901">
            <v>1</v>
          </cell>
          <cell r="G901">
            <v>1</v>
          </cell>
          <cell r="H901">
            <v>0</v>
          </cell>
          <cell r="I901">
            <v>0</v>
          </cell>
          <cell r="J901">
            <v>0</v>
          </cell>
          <cell r="K901">
            <v>0</v>
          </cell>
          <cell r="L901">
            <v>0</v>
          </cell>
          <cell r="M901">
            <v>0</v>
          </cell>
          <cell r="N901">
            <v>0</v>
          </cell>
          <cell r="O901">
            <v>0</v>
          </cell>
          <cell r="P901">
            <v>0</v>
          </cell>
          <cell r="Q901">
            <v>0</v>
          </cell>
          <cell r="R901">
            <v>1</v>
          </cell>
          <cell r="S901">
            <v>0</v>
          </cell>
        </row>
        <row r="902">
          <cell r="E902" t="str">
            <v>RB99</v>
          </cell>
          <cell r="F902">
            <v>1</v>
          </cell>
          <cell r="G902">
            <v>1</v>
          </cell>
          <cell r="H902">
            <v>0</v>
          </cell>
          <cell r="I902">
            <v>0</v>
          </cell>
          <cell r="J902">
            <v>0</v>
          </cell>
          <cell r="K902">
            <v>0</v>
          </cell>
          <cell r="L902">
            <v>0</v>
          </cell>
          <cell r="M902">
            <v>0</v>
          </cell>
          <cell r="N902">
            <v>0</v>
          </cell>
          <cell r="O902">
            <v>0</v>
          </cell>
          <cell r="P902">
            <v>0</v>
          </cell>
          <cell r="Q902">
            <v>0</v>
          </cell>
          <cell r="R902">
            <v>1</v>
          </cell>
          <cell r="S902">
            <v>0</v>
          </cell>
        </row>
        <row r="903">
          <cell r="E903" t="str">
            <v>CW29</v>
          </cell>
          <cell r="F903">
            <v>1</v>
          </cell>
          <cell r="G903">
            <v>1</v>
          </cell>
          <cell r="H903">
            <v>0</v>
          </cell>
          <cell r="I903">
            <v>0</v>
          </cell>
          <cell r="J903">
            <v>0</v>
          </cell>
          <cell r="K903">
            <v>0</v>
          </cell>
          <cell r="L903">
            <v>0</v>
          </cell>
          <cell r="M903">
            <v>0</v>
          </cell>
          <cell r="N903">
            <v>0</v>
          </cell>
          <cell r="O903">
            <v>0</v>
          </cell>
          <cell r="P903">
            <v>0</v>
          </cell>
          <cell r="Q903">
            <v>0</v>
          </cell>
          <cell r="R903">
            <v>1</v>
          </cell>
          <cell r="S903">
            <v>0</v>
          </cell>
        </row>
        <row r="905">
          <cell r="R905" t="str">
            <v>FR-16(7)(v)-8</v>
          </cell>
        </row>
        <row r="906">
          <cell r="R906" t="str">
            <v>WITNESS RESPONSIBLE:</v>
          </cell>
        </row>
        <row r="907">
          <cell r="R907" t="str">
            <v>JAMES E. ZIOLKOWSKI</v>
          </cell>
        </row>
        <row r="908">
          <cell r="R908" t="str">
            <v>PAGE 18 OF 18</v>
          </cell>
        </row>
        <row r="911">
          <cell r="F911" t="str">
            <v>TOTAL</v>
          </cell>
          <cell r="H911" t="str">
            <v>DS</v>
          </cell>
          <cell r="I911" t="str">
            <v>GSFL</v>
          </cell>
          <cell r="J911" t="str">
            <v>EH</v>
          </cell>
          <cell r="K911" t="str">
            <v>SP</v>
          </cell>
          <cell r="L911" t="str">
            <v>DT SEC</v>
          </cell>
          <cell r="M911" t="str">
            <v>DT PRI</v>
          </cell>
          <cell r="N911" t="str">
            <v>DP</v>
          </cell>
          <cell r="O911" t="str">
            <v>TT</v>
          </cell>
          <cell r="Q911" t="str">
            <v>OTHER</v>
          </cell>
        </row>
        <row r="912">
          <cell r="F912" t="str">
            <v>TRANSMISSION</v>
          </cell>
          <cell r="G912" t="str">
            <v>RS</v>
          </cell>
          <cell r="H912" t="str">
            <v>SECONDARY</v>
          </cell>
          <cell r="I912" t="str">
            <v>SECONDARY</v>
          </cell>
          <cell r="J912" t="str">
            <v>SECONDARY</v>
          </cell>
          <cell r="K912" t="str">
            <v>SECONDARY</v>
          </cell>
          <cell r="L912" t="str">
            <v>SECONDARY</v>
          </cell>
          <cell r="M912" t="str">
            <v>PRIMARY</v>
          </cell>
          <cell r="N912" t="str">
            <v>PRIMARY</v>
          </cell>
          <cell r="O912" t="str">
            <v>TRANSMISSION</v>
          </cell>
          <cell r="P912" t="str">
            <v>LT</v>
          </cell>
          <cell r="Q912" t="str">
            <v>WATER</v>
          </cell>
          <cell r="R912" t="str">
            <v>TOTAL</v>
          </cell>
          <cell r="S912" t="str">
            <v>ALL</v>
          </cell>
        </row>
        <row r="913">
          <cell r="E913" t="str">
            <v>ALLO</v>
          </cell>
          <cell r="F913" t="str">
            <v>ENERGY</v>
          </cell>
          <cell r="G913" t="str">
            <v>RESIDENTIAL</v>
          </cell>
          <cell r="H913" t="str">
            <v>DISTRIBUTION</v>
          </cell>
          <cell r="I913" t="str">
            <v>DISTRIBUTION</v>
          </cell>
          <cell r="J913" t="str">
            <v>DISTRIBUTION</v>
          </cell>
          <cell r="K913" t="str">
            <v>DISTRIBUTION</v>
          </cell>
          <cell r="L913" t="str">
            <v>DISTRIBUTION</v>
          </cell>
          <cell r="M913" t="str">
            <v>DISTRIBUTION</v>
          </cell>
          <cell r="N913" t="str">
            <v>DISTRIBUTION</v>
          </cell>
          <cell r="O913" t="str">
            <v>TIME OF DAY</v>
          </cell>
          <cell r="P913" t="str">
            <v>LIGHTING</v>
          </cell>
          <cell r="Q913" t="str">
            <v>PUMPING</v>
          </cell>
          <cell r="R913" t="str">
            <v>AT ISSUE</v>
          </cell>
          <cell r="S913" t="str">
            <v>OTHER</v>
          </cell>
        </row>
        <row r="914">
          <cell r="E914">
            <v>1</v>
          </cell>
          <cell r="G914">
            <v>3</v>
          </cell>
          <cell r="H914">
            <v>4</v>
          </cell>
          <cell r="I914">
            <v>5</v>
          </cell>
          <cell r="J914">
            <v>6</v>
          </cell>
          <cell r="K914">
            <v>7</v>
          </cell>
          <cell r="L914">
            <v>8</v>
          </cell>
          <cell r="M914">
            <v>9</v>
          </cell>
          <cell r="N914">
            <v>10</v>
          </cell>
          <cell r="O914">
            <v>11</v>
          </cell>
          <cell r="P914">
            <v>12</v>
          </cell>
          <cell r="Q914">
            <v>13</v>
          </cell>
          <cell r="S914" t="str">
            <v xml:space="preserve"> </v>
          </cell>
        </row>
        <row r="916">
          <cell r="E916" t="str">
            <v>P349</v>
          </cell>
          <cell r="F916">
            <v>1</v>
          </cell>
          <cell r="G916">
            <v>0</v>
          </cell>
          <cell r="H916">
            <v>0</v>
          </cell>
          <cell r="I916">
            <v>0</v>
          </cell>
          <cell r="J916">
            <v>0</v>
          </cell>
          <cell r="K916">
            <v>0</v>
          </cell>
          <cell r="L916">
            <v>0</v>
          </cell>
          <cell r="M916">
            <v>0</v>
          </cell>
          <cell r="N916">
            <v>0</v>
          </cell>
          <cell r="O916">
            <v>0</v>
          </cell>
          <cell r="P916">
            <v>0</v>
          </cell>
          <cell r="Q916">
            <v>0</v>
          </cell>
          <cell r="R916">
            <v>0</v>
          </cell>
          <cell r="S916">
            <v>1</v>
          </cell>
        </row>
        <row r="917">
          <cell r="E917" t="str">
            <v>E349</v>
          </cell>
          <cell r="F917">
            <v>1</v>
          </cell>
          <cell r="G917">
            <v>0</v>
          </cell>
          <cell r="H917">
            <v>0</v>
          </cell>
          <cell r="I917">
            <v>0</v>
          </cell>
          <cell r="J917">
            <v>0</v>
          </cell>
          <cell r="K917">
            <v>0</v>
          </cell>
          <cell r="L917">
            <v>0</v>
          </cell>
          <cell r="M917">
            <v>0</v>
          </cell>
          <cell r="N917">
            <v>0</v>
          </cell>
          <cell r="O917">
            <v>0</v>
          </cell>
          <cell r="P917">
            <v>0</v>
          </cell>
          <cell r="Q917">
            <v>0</v>
          </cell>
          <cell r="R917">
            <v>0</v>
          </cell>
          <cell r="S917">
            <v>1</v>
          </cell>
        </row>
        <row r="918">
          <cell r="E918" t="str">
            <v>P459</v>
          </cell>
          <cell r="F918">
            <v>1</v>
          </cell>
          <cell r="G918">
            <v>0</v>
          </cell>
          <cell r="H918">
            <v>0</v>
          </cell>
          <cell r="I918">
            <v>0</v>
          </cell>
          <cell r="J918">
            <v>0</v>
          </cell>
          <cell r="K918">
            <v>0</v>
          </cell>
          <cell r="L918">
            <v>0</v>
          </cell>
          <cell r="M918">
            <v>0</v>
          </cell>
          <cell r="N918">
            <v>0</v>
          </cell>
          <cell r="O918">
            <v>0</v>
          </cell>
          <cell r="P918">
            <v>0</v>
          </cell>
          <cell r="Q918">
            <v>0</v>
          </cell>
          <cell r="R918">
            <v>0</v>
          </cell>
          <cell r="S918">
            <v>1</v>
          </cell>
        </row>
        <row r="919">
          <cell r="E919" t="str">
            <v>T349</v>
          </cell>
          <cell r="F919">
            <v>1</v>
          </cell>
          <cell r="G919">
            <v>0</v>
          </cell>
          <cell r="H919">
            <v>0</v>
          </cell>
          <cell r="I919">
            <v>0</v>
          </cell>
          <cell r="J919">
            <v>0</v>
          </cell>
          <cell r="K919">
            <v>0</v>
          </cell>
          <cell r="L919">
            <v>0</v>
          </cell>
          <cell r="M919">
            <v>0</v>
          </cell>
          <cell r="N919">
            <v>0</v>
          </cell>
          <cell r="O919">
            <v>0</v>
          </cell>
          <cell r="P919">
            <v>0</v>
          </cell>
          <cell r="Q919">
            <v>0</v>
          </cell>
          <cell r="R919">
            <v>0</v>
          </cell>
          <cell r="S919">
            <v>1</v>
          </cell>
        </row>
        <row r="920">
          <cell r="E920" t="str">
            <v>D349</v>
          </cell>
          <cell r="F920">
            <v>1</v>
          </cell>
          <cell r="G920">
            <v>0</v>
          </cell>
          <cell r="H920">
            <v>0</v>
          </cell>
          <cell r="I920">
            <v>0</v>
          </cell>
          <cell r="J920">
            <v>0</v>
          </cell>
          <cell r="K920">
            <v>0</v>
          </cell>
          <cell r="L920">
            <v>0</v>
          </cell>
          <cell r="M920">
            <v>0</v>
          </cell>
          <cell r="N920">
            <v>0</v>
          </cell>
          <cell r="O920">
            <v>0</v>
          </cell>
          <cell r="P920">
            <v>0</v>
          </cell>
          <cell r="Q920">
            <v>0</v>
          </cell>
          <cell r="R920">
            <v>0</v>
          </cell>
          <cell r="S920">
            <v>1</v>
          </cell>
        </row>
        <row r="921">
          <cell r="E921" t="str">
            <v>C311</v>
          </cell>
          <cell r="F921">
            <v>1</v>
          </cell>
          <cell r="G921">
            <v>0</v>
          </cell>
          <cell r="H921">
            <v>0</v>
          </cell>
          <cell r="I921">
            <v>0</v>
          </cell>
          <cell r="J921">
            <v>0</v>
          </cell>
          <cell r="K921">
            <v>0</v>
          </cell>
          <cell r="L921">
            <v>0</v>
          </cell>
          <cell r="M921">
            <v>0</v>
          </cell>
          <cell r="N921">
            <v>0</v>
          </cell>
          <cell r="O921">
            <v>0</v>
          </cell>
          <cell r="P921">
            <v>0</v>
          </cell>
          <cell r="Q921">
            <v>0</v>
          </cell>
          <cell r="R921">
            <v>0</v>
          </cell>
          <cell r="S921">
            <v>1</v>
          </cell>
        </row>
        <row r="922">
          <cell r="E922" t="str">
            <v>C319</v>
          </cell>
          <cell r="F922">
            <v>1</v>
          </cell>
          <cell r="G922">
            <v>0</v>
          </cell>
          <cell r="H922">
            <v>0</v>
          </cell>
          <cell r="I922">
            <v>0</v>
          </cell>
          <cell r="J922">
            <v>0</v>
          </cell>
          <cell r="K922">
            <v>0</v>
          </cell>
          <cell r="L922">
            <v>0</v>
          </cell>
          <cell r="M922">
            <v>0</v>
          </cell>
          <cell r="N922">
            <v>0</v>
          </cell>
          <cell r="O922">
            <v>0</v>
          </cell>
          <cell r="P922">
            <v>0</v>
          </cell>
          <cell r="Q922">
            <v>0</v>
          </cell>
          <cell r="R922">
            <v>0</v>
          </cell>
          <cell r="S922">
            <v>1</v>
          </cell>
        </row>
        <row r="923">
          <cell r="E923" t="str">
            <v>C331</v>
          </cell>
          <cell r="F923">
            <v>1</v>
          </cell>
          <cell r="G923">
            <v>0</v>
          </cell>
          <cell r="H923">
            <v>0</v>
          </cell>
          <cell r="I923">
            <v>0</v>
          </cell>
          <cell r="J923">
            <v>0</v>
          </cell>
          <cell r="K923">
            <v>0</v>
          </cell>
          <cell r="L923">
            <v>0</v>
          </cell>
          <cell r="M923">
            <v>0</v>
          </cell>
          <cell r="N923">
            <v>0</v>
          </cell>
          <cell r="O923">
            <v>0</v>
          </cell>
          <cell r="P923">
            <v>0</v>
          </cell>
          <cell r="Q923">
            <v>0</v>
          </cell>
          <cell r="R923">
            <v>0</v>
          </cell>
          <cell r="S923">
            <v>1</v>
          </cell>
        </row>
        <row r="924">
          <cell r="E924" t="str">
            <v>S319</v>
          </cell>
          <cell r="F924">
            <v>1</v>
          </cell>
          <cell r="G924">
            <v>0</v>
          </cell>
          <cell r="H924">
            <v>0</v>
          </cell>
          <cell r="I924">
            <v>0</v>
          </cell>
          <cell r="J924">
            <v>0</v>
          </cell>
          <cell r="K924">
            <v>0</v>
          </cell>
          <cell r="L924">
            <v>0</v>
          </cell>
          <cell r="M924">
            <v>0</v>
          </cell>
          <cell r="N924">
            <v>0</v>
          </cell>
          <cell r="O924">
            <v>0</v>
          </cell>
          <cell r="P924">
            <v>0</v>
          </cell>
          <cell r="Q924">
            <v>0</v>
          </cell>
          <cell r="R924">
            <v>0</v>
          </cell>
          <cell r="S924">
            <v>1</v>
          </cell>
        </row>
        <row r="925">
          <cell r="E925" t="str">
            <v>OM39</v>
          </cell>
          <cell r="F925">
            <v>1</v>
          </cell>
          <cell r="G925">
            <v>0</v>
          </cell>
          <cell r="H925">
            <v>0</v>
          </cell>
          <cell r="I925">
            <v>0</v>
          </cell>
          <cell r="J925">
            <v>0</v>
          </cell>
          <cell r="K925">
            <v>0</v>
          </cell>
          <cell r="L925">
            <v>0</v>
          </cell>
          <cell r="M925">
            <v>0</v>
          </cell>
          <cell r="N925">
            <v>0</v>
          </cell>
          <cell r="O925">
            <v>0</v>
          </cell>
          <cell r="P925">
            <v>0</v>
          </cell>
          <cell r="Q925">
            <v>0</v>
          </cell>
          <cell r="R925">
            <v>0</v>
          </cell>
          <cell r="S925">
            <v>1</v>
          </cell>
        </row>
        <row r="928">
          <cell r="E928" t="str">
            <v>A300</v>
          </cell>
          <cell r="F928">
            <v>1</v>
          </cell>
          <cell r="G928">
            <v>0</v>
          </cell>
          <cell r="H928">
            <v>0</v>
          </cell>
          <cell r="I928">
            <v>0</v>
          </cell>
          <cell r="J928">
            <v>0</v>
          </cell>
          <cell r="K928">
            <v>0</v>
          </cell>
          <cell r="L928">
            <v>0</v>
          </cell>
          <cell r="M928">
            <v>0</v>
          </cell>
          <cell r="N928">
            <v>0</v>
          </cell>
          <cell r="O928">
            <v>0</v>
          </cell>
          <cell r="P928">
            <v>0</v>
          </cell>
          <cell r="Q928">
            <v>0</v>
          </cell>
          <cell r="R928">
            <v>0</v>
          </cell>
          <cell r="S928">
            <v>1</v>
          </cell>
        </row>
        <row r="929">
          <cell r="E929" t="str">
            <v>A302</v>
          </cell>
          <cell r="F929">
            <v>1</v>
          </cell>
          <cell r="G929">
            <v>0</v>
          </cell>
          <cell r="H929">
            <v>0</v>
          </cell>
          <cell r="I929">
            <v>0</v>
          </cell>
          <cell r="J929">
            <v>0</v>
          </cell>
          <cell r="K929">
            <v>0</v>
          </cell>
          <cell r="L929">
            <v>0</v>
          </cell>
          <cell r="M929">
            <v>0</v>
          </cell>
          <cell r="N929">
            <v>0</v>
          </cell>
          <cell r="O929">
            <v>0</v>
          </cell>
          <cell r="P929">
            <v>0</v>
          </cell>
          <cell r="Q929">
            <v>0</v>
          </cell>
          <cell r="R929">
            <v>0</v>
          </cell>
          <cell r="S929">
            <v>1</v>
          </cell>
        </row>
        <row r="930">
          <cell r="E930" t="str">
            <v>A304</v>
          </cell>
          <cell r="F930">
            <v>1</v>
          </cell>
          <cell r="G930">
            <v>0</v>
          </cell>
          <cell r="H930">
            <v>0</v>
          </cell>
          <cell r="I930">
            <v>0</v>
          </cell>
          <cell r="J930">
            <v>0</v>
          </cell>
          <cell r="K930">
            <v>0</v>
          </cell>
          <cell r="L930">
            <v>0</v>
          </cell>
          <cell r="M930">
            <v>0</v>
          </cell>
          <cell r="N930">
            <v>0</v>
          </cell>
          <cell r="O930">
            <v>0</v>
          </cell>
          <cell r="P930">
            <v>0</v>
          </cell>
          <cell r="Q930">
            <v>0</v>
          </cell>
          <cell r="R930">
            <v>0</v>
          </cell>
          <cell r="S930">
            <v>1</v>
          </cell>
        </row>
        <row r="931">
          <cell r="E931" t="str">
            <v>A306</v>
          </cell>
          <cell r="F931">
            <v>1</v>
          </cell>
          <cell r="G931">
            <v>0</v>
          </cell>
          <cell r="H931">
            <v>0</v>
          </cell>
          <cell r="I931">
            <v>0</v>
          </cell>
          <cell r="J931">
            <v>0</v>
          </cell>
          <cell r="K931">
            <v>0</v>
          </cell>
          <cell r="L931">
            <v>0</v>
          </cell>
          <cell r="M931">
            <v>0</v>
          </cell>
          <cell r="N931">
            <v>0</v>
          </cell>
          <cell r="O931">
            <v>0</v>
          </cell>
          <cell r="P931">
            <v>0</v>
          </cell>
          <cell r="Q931">
            <v>0</v>
          </cell>
          <cell r="R931">
            <v>0</v>
          </cell>
          <cell r="S931">
            <v>1</v>
          </cell>
        </row>
        <row r="932">
          <cell r="E932" t="str">
            <v>A308</v>
          </cell>
          <cell r="F932">
            <v>1</v>
          </cell>
          <cell r="G932">
            <v>0</v>
          </cell>
          <cell r="H932">
            <v>0</v>
          </cell>
          <cell r="I932">
            <v>0</v>
          </cell>
          <cell r="J932">
            <v>0</v>
          </cell>
          <cell r="K932">
            <v>0</v>
          </cell>
          <cell r="L932">
            <v>0</v>
          </cell>
          <cell r="M932">
            <v>0</v>
          </cell>
          <cell r="N932">
            <v>0</v>
          </cell>
          <cell r="O932">
            <v>0</v>
          </cell>
          <cell r="P932">
            <v>0</v>
          </cell>
          <cell r="Q932">
            <v>0</v>
          </cell>
          <cell r="R932">
            <v>0</v>
          </cell>
          <cell r="S932">
            <v>1</v>
          </cell>
        </row>
        <row r="933">
          <cell r="E933" t="str">
            <v>A310</v>
          </cell>
          <cell r="F933">
            <v>1</v>
          </cell>
          <cell r="G933">
            <v>0</v>
          </cell>
          <cell r="H933">
            <v>0</v>
          </cell>
          <cell r="I933">
            <v>0</v>
          </cell>
          <cell r="J933">
            <v>0</v>
          </cell>
          <cell r="K933">
            <v>0</v>
          </cell>
          <cell r="L933">
            <v>0</v>
          </cell>
          <cell r="M933">
            <v>0</v>
          </cell>
          <cell r="N933">
            <v>0</v>
          </cell>
          <cell r="O933">
            <v>0</v>
          </cell>
          <cell r="P933">
            <v>0</v>
          </cell>
          <cell r="Q933">
            <v>0</v>
          </cell>
          <cell r="R933">
            <v>0</v>
          </cell>
          <cell r="S933">
            <v>1</v>
          </cell>
        </row>
        <row r="934">
          <cell r="E934" t="str">
            <v>A312</v>
          </cell>
          <cell r="F934">
            <v>1</v>
          </cell>
          <cell r="G934">
            <v>0</v>
          </cell>
          <cell r="H934">
            <v>0</v>
          </cell>
          <cell r="I934">
            <v>0</v>
          </cell>
          <cell r="J934">
            <v>0</v>
          </cell>
          <cell r="K934">
            <v>0</v>
          </cell>
          <cell r="L934">
            <v>0</v>
          </cell>
          <cell r="M934">
            <v>0</v>
          </cell>
          <cell r="N934">
            <v>0</v>
          </cell>
          <cell r="O934">
            <v>0</v>
          </cell>
          <cell r="P934">
            <v>0</v>
          </cell>
          <cell r="Q934">
            <v>0</v>
          </cell>
          <cell r="R934">
            <v>0</v>
          </cell>
          <cell r="S934">
            <v>1</v>
          </cell>
        </row>
        <row r="935">
          <cell r="E935" t="str">
            <v>A315</v>
          </cell>
          <cell r="F935">
            <v>1</v>
          </cell>
          <cell r="G935">
            <v>0</v>
          </cell>
          <cell r="H935">
            <v>0</v>
          </cell>
          <cell r="I935">
            <v>0</v>
          </cell>
          <cell r="J935">
            <v>0</v>
          </cell>
          <cell r="K935">
            <v>0</v>
          </cell>
          <cell r="L935">
            <v>0</v>
          </cell>
          <cell r="M935">
            <v>0</v>
          </cell>
          <cell r="N935">
            <v>0</v>
          </cell>
          <cell r="O935">
            <v>0</v>
          </cell>
          <cell r="P935">
            <v>0</v>
          </cell>
          <cell r="Q935">
            <v>0</v>
          </cell>
          <cell r="R935">
            <v>0</v>
          </cell>
          <cell r="S935">
            <v>1</v>
          </cell>
        </row>
        <row r="936">
          <cell r="E936" t="str">
            <v>A357</v>
          </cell>
          <cell r="F936">
            <v>1</v>
          </cell>
          <cell r="G936">
            <v>0</v>
          </cell>
          <cell r="H936">
            <v>0</v>
          </cell>
          <cell r="I936">
            <v>0</v>
          </cell>
          <cell r="J936">
            <v>0</v>
          </cell>
          <cell r="K936">
            <v>0</v>
          </cell>
          <cell r="L936">
            <v>0</v>
          </cell>
          <cell r="M936">
            <v>0</v>
          </cell>
          <cell r="N936">
            <v>0</v>
          </cell>
          <cell r="O936">
            <v>0</v>
          </cell>
          <cell r="P936">
            <v>0</v>
          </cell>
          <cell r="Q936">
            <v>0</v>
          </cell>
          <cell r="R936">
            <v>0</v>
          </cell>
          <cell r="S936">
            <v>1</v>
          </cell>
        </row>
        <row r="939">
          <cell r="E939" t="str">
            <v>P489</v>
          </cell>
          <cell r="F939">
            <v>1</v>
          </cell>
          <cell r="G939">
            <v>0</v>
          </cell>
          <cell r="H939">
            <v>0</v>
          </cell>
          <cell r="I939">
            <v>0</v>
          </cell>
          <cell r="J939">
            <v>0</v>
          </cell>
          <cell r="K939">
            <v>0</v>
          </cell>
          <cell r="L939">
            <v>0</v>
          </cell>
          <cell r="M939">
            <v>0</v>
          </cell>
          <cell r="N939">
            <v>0</v>
          </cell>
          <cell r="O939">
            <v>0</v>
          </cell>
          <cell r="P939">
            <v>0</v>
          </cell>
          <cell r="Q939">
            <v>0</v>
          </cell>
          <cell r="R939">
            <v>0</v>
          </cell>
          <cell r="S939">
            <v>1</v>
          </cell>
        </row>
        <row r="940">
          <cell r="E940" t="str">
            <v>T489</v>
          </cell>
          <cell r="F940">
            <v>1</v>
          </cell>
          <cell r="G940">
            <v>0</v>
          </cell>
          <cell r="H940">
            <v>0</v>
          </cell>
          <cell r="I940">
            <v>0</v>
          </cell>
          <cell r="J940">
            <v>0</v>
          </cell>
          <cell r="K940">
            <v>0</v>
          </cell>
          <cell r="L940">
            <v>0</v>
          </cell>
          <cell r="M940">
            <v>0</v>
          </cell>
          <cell r="N940">
            <v>0</v>
          </cell>
          <cell r="O940">
            <v>0</v>
          </cell>
          <cell r="P940">
            <v>0</v>
          </cell>
          <cell r="Q940">
            <v>0</v>
          </cell>
          <cell r="R940">
            <v>0</v>
          </cell>
          <cell r="S940">
            <v>1</v>
          </cell>
        </row>
        <row r="941">
          <cell r="E941" t="str">
            <v>D489</v>
          </cell>
          <cell r="F941">
            <v>1</v>
          </cell>
          <cell r="G941">
            <v>0</v>
          </cell>
          <cell r="H941">
            <v>0</v>
          </cell>
          <cell r="I941">
            <v>0</v>
          </cell>
          <cell r="J941">
            <v>0</v>
          </cell>
          <cell r="K941">
            <v>0</v>
          </cell>
          <cell r="L941">
            <v>0</v>
          </cell>
          <cell r="M941">
            <v>0</v>
          </cell>
          <cell r="N941">
            <v>0</v>
          </cell>
          <cell r="O941">
            <v>0</v>
          </cell>
          <cell r="P941">
            <v>0</v>
          </cell>
          <cell r="Q941">
            <v>0</v>
          </cell>
          <cell r="R941">
            <v>0</v>
          </cell>
          <cell r="S941">
            <v>1</v>
          </cell>
        </row>
        <row r="942">
          <cell r="E942" t="str">
            <v>G489</v>
          </cell>
          <cell r="F942">
            <v>1</v>
          </cell>
          <cell r="G942">
            <v>0</v>
          </cell>
          <cell r="H942">
            <v>0</v>
          </cell>
          <cell r="I942">
            <v>0</v>
          </cell>
          <cell r="J942">
            <v>0</v>
          </cell>
          <cell r="K942">
            <v>0</v>
          </cell>
          <cell r="L942">
            <v>0</v>
          </cell>
          <cell r="M942">
            <v>0</v>
          </cell>
          <cell r="N942">
            <v>0</v>
          </cell>
          <cell r="O942">
            <v>0</v>
          </cell>
          <cell r="P942">
            <v>0</v>
          </cell>
          <cell r="Q942">
            <v>0</v>
          </cell>
          <cell r="R942">
            <v>0</v>
          </cell>
          <cell r="S942">
            <v>1</v>
          </cell>
        </row>
        <row r="943">
          <cell r="E943" t="str">
            <v>C489</v>
          </cell>
          <cell r="F943">
            <v>1</v>
          </cell>
          <cell r="G943">
            <v>0</v>
          </cell>
          <cell r="H943">
            <v>0</v>
          </cell>
          <cell r="I943">
            <v>0</v>
          </cell>
          <cell r="J943">
            <v>0</v>
          </cell>
          <cell r="K943">
            <v>0</v>
          </cell>
          <cell r="L943">
            <v>0</v>
          </cell>
          <cell r="M943">
            <v>0</v>
          </cell>
          <cell r="N943">
            <v>0</v>
          </cell>
          <cell r="O943">
            <v>0</v>
          </cell>
          <cell r="P943">
            <v>0</v>
          </cell>
          <cell r="Q943">
            <v>0</v>
          </cell>
          <cell r="R943">
            <v>0</v>
          </cell>
          <cell r="S943">
            <v>1</v>
          </cell>
        </row>
        <row r="944">
          <cell r="E944" t="str">
            <v>DE49</v>
          </cell>
          <cell r="F944">
            <v>1</v>
          </cell>
          <cell r="G944">
            <v>0</v>
          </cell>
          <cell r="H944">
            <v>0</v>
          </cell>
          <cell r="I944">
            <v>0</v>
          </cell>
          <cell r="J944">
            <v>0</v>
          </cell>
          <cell r="K944">
            <v>0</v>
          </cell>
          <cell r="L944">
            <v>0</v>
          </cell>
          <cell r="M944">
            <v>0</v>
          </cell>
          <cell r="N944">
            <v>0</v>
          </cell>
          <cell r="O944">
            <v>0</v>
          </cell>
          <cell r="P944">
            <v>0</v>
          </cell>
          <cell r="Q944">
            <v>0</v>
          </cell>
          <cell r="R944">
            <v>0</v>
          </cell>
          <cell r="S944">
            <v>1</v>
          </cell>
        </row>
        <row r="947">
          <cell r="E947" t="str">
            <v>L529</v>
          </cell>
          <cell r="F947">
            <v>1</v>
          </cell>
          <cell r="G947">
            <v>0</v>
          </cell>
          <cell r="H947">
            <v>0</v>
          </cell>
          <cell r="I947">
            <v>0</v>
          </cell>
          <cell r="J947">
            <v>0</v>
          </cell>
          <cell r="K947">
            <v>0</v>
          </cell>
          <cell r="L947">
            <v>0</v>
          </cell>
          <cell r="M947">
            <v>0</v>
          </cell>
          <cell r="N947">
            <v>0</v>
          </cell>
          <cell r="O947">
            <v>0</v>
          </cell>
          <cell r="P947">
            <v>0</v>
          </cell>
          <cell r="Q947">
            <v>0</v>
          </cell>
          <cell r="R947">
            <v>0</v>
          </cell>
          <cell r="S947">
            <v>1</v>
          </cell>
        </row>
        <row r="948">
          <cell r="E948" t="str">
            <v>L589</v>
          </cell>
          <cell r="F948">
            <v>1</v>
          </cell>
          <cell r="G948">
            <v>0</v>
          </cell>
          <cell r="H948">
            <v>0</v>
          </cell>
          <cell r="I948">
            <v>0</v>
          </cell>
          <cell r="J948">
            <v>0</v>
          </cell>
          <cell r="K948">
            <v>0</v>
          </cell>
          <cell r="L948">
            <v>0</v>
          </cell>
          <cell r="M948">
            <v>0</v>
          </cell>
          <cell r="N948">
            <v>0</v>
          </cell>
          <cell r="O948">
            <v>0</v>
          </cell>
          <cell r="P948">
            <v>0</v>
          </cell>
          <cell r="Q948">
            <v>0</v>
          </cell>
          <cell r="R948">
            <v>0</v>
          </cell>
          <cell r="S948">
            <v>1</v>
          </cell>
        </row>
        <row r="949">
          <cell r="E949" t="str">
            <v>L599</v>
          </cell>
          <cell r="F949">
            <v>1</v>
          </cell>
          <cell r="G949">
            <v>0</v>
          </cell>
          <cell r="H949">
            <v>0</v>
          </cell>
          <cell r="I949">
            <v>0</v>
          </cell>
          <cell r="J949">
            <v>0</v>
          </cell>
          <cell r="K949">
            <v>0</v>
          </cell>
          <cell r="L949">
            <v>0</v>
          </cell>
          <cell r="M949">
            <v>0</v>
          </cell>
          <cell r="N949">
            <v>0</v>
          </cell>
          <cell r="O949">
            <v>0</v>
          </cell>
          <cell r="P949">
            <v>0</v>
          </cell>
          <cell r="Q949">
            <v>0</v>
          </cell>
          <cell r="R949">
            <v>0</v>
          </cell>
          <cell r="S949">
            <v>1</v>
          </cell>
        </row>
        <row r="950">
          <cell r="E950" t="str">
            <v>OP69</v>
          </cell>
          <cell r="F950">
            <v>1</v>
          </cell>
          <cell r="G950">
            <v>0</v>
          </cell>
          <cell r="H950">
            <v>0</v>
          </cell>
          <cell r="I950">
            <v>0</v>
          </cell>
          <cell r="J950">
            <v>0</v>
          </cell>
          <cell r="K950">
            <v>0</v>
          </cell>
          <cell r="L950">
            <v>0</v>
          </cell>
          <cell r="M950">
            <v>0</v>
          </cell>
          <cell r="N950">
            <v>0</v>
          </cell>
          <cell r="O950">
            <v>0</v>
          </cell>
          <cell r="P950">
            <v>0</v>
          </cell>
          <cell r="Q950">
            <v>0</v>
          </cell>
          <cell r="R950">
            <v>0</v>
          </cell>
          <cell r="S950">
            <v>1</v>
          </cell>
        </row>
        <row r="953">
          <cell r="E953" t="str">
            <v>CS09</v>
          </cell>
          <cell r="F953">
            <v>1</v>
          </cell>
          <cell r="G953">
            <v>0</v>
          </cell>
          <cell r="H953">
            <v>0</v>
          </cell>
          <cell r="I953">
            <v>0</v>
          </cell>
          <cell r="J953">
            <v>0</v>
          </cell>
          <cell r="K953">
            <v>0</v>
          </cell>
          <cell r="L953">
            <v>0</v>
          </cell>
          <cell r="M953">
            <v>0</v>
          </cell>
          <cell r="N953">
            <v>0</v>
          </cell>
          <cell r="O953">
            <v>0</v>
          </cell>
          <cell r="P953">
            <v>0</v>
          </cell>
          <cell r="Q953">
            <v>0</v>
          </cell>
          <cell r="R953">
            <v>0</v>
          </cell>
          <cell r="S953">
            <v>1</v>
          </cell>
        </row>
      </sheetData>
      <sheetData sheetId="11">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59521</v>
          </cell>
          <cell r="G824">
            <v>30927</v>
          </cell>
          <cell r="H824">
            <v>25274</v>
          </cell>
          <cell r="I824">
            <v>0</v>
          </cell>
          <cell r="J824">
            <v>212</v>
          </cell>
          <cell r="K824">
            <v>26</v>
          </cell>
          <cell r="L824">
            <v>1176</v>
          </cell>
          <cell r="M824">
            <v>0</v>
          </cell>
          <cell r="N824">
            <v>100</v>
          </cell>
          <cell r="O824">
            <v>151</v>
          </cell>
          <cell r="P824">
            <v>0</v>
          </cell>
          <cell r="Q824">
            <v>1655</v>
          </cell>
          <cell r="R824">
            <v>59521</v>
          </cell>
          <cell r="S824">
            <v>0</v>
          </cell>
        </row>
        <row r="825">
          <cell r="E825" t="str">
            <v>K209</v>
          </cell>
          <cell r="F825">
            <v>1</v>
          </cell>
          <cell r="G825">
            <v>0.51959</v>
          </cell>
          <cell r="H825">
            <v>0.42462</v>
          </cell>
          <cell r="I825">
            <v>0</v>
          </cell>
          <cell r="J825">
            <v>3.5599999999999998E-3</v>
          </cell>
          <cell r="K825">
            <v>4.4000000000000002E-4</v>
          </cell>
          <cell r="L825">
            <v>1.976E-2</v>
          </cell>
          <cell r="M825">
            <v>0</v>
          </cell>
          <cell r="N825">
            <v>1.6800000000000001E-3</v>
          </cell>
          <cell r="O825">
            <v>2.5400000000000002E-3</v>
          </cell>
          <cell r="P825">
            <v>0</v>
          </cell>
          <cell r="Q825">
            <v>2.7810000000000001E-2</v>
          </cell>
          <cell r="R825">
            <v>1</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11</v>
          </cell>
          <cell r="P840">
            <v>394</v>
          </cell>
          <cell r="Q840">
            <v>11</v>
          </cell>
          <cell r="R840">
            <v>140010</v>
          </cell>
          <cell r="S840">
            <v>4</v>
          </cell>
        </row>
        <row r="841">
          <cell r="E841" t="str">
            <v>K405</v>
          </cell>
          <cell r="F841">
            <v>1</v>
          </cell>
          <cell r="G841">
            <v>0.90183000000000002</v>
          </cell>
          <cell r="H841">
            <v>9.1660000000000005E-2</v>
          </cell>
          <cell r="I841">
            <v>1.2199999999999999E-3</v>
          </cell>
          <cell r="J841">
            <v>7.3999999999999999E-4</v>
          </cell>
          <cell r="K841">
            <v>1.1E-4</v>
          </cell>
          <cell r="L841">
            <v>1.1000000000000001E-3</v>
          </cell>
          <cell r="M841">
            <v>2.5999999999999998E-4</v>
          </cell>
          <cell r="N841">
            <v>6.9999999999999994E-5</v>
          </cell>
          <cell r="O841">
            <v>8.0000000000000007E-5</v>
          </cell>
          <cell r="P841">
            <v>2.81E-3</v>
          </cell>
          <cell r="Q841">
            <v>8.0000000000000007E-5</v>
          </cell>
          <cell r="R841">
            <v>0.99995999999999996</v>
          </cell>
          <cell r="S841">
            <v>4.0000000000040004E-5</v>
          </cell>
        </row>
        <row r="842">
          <cell r="F842">
            <v>6350638</v>
          </cell>
          <cell r="G842">
            <v>3299927</v>
          </cell>
          <cell r="H842">
            <v>2696699</v>
          </cell>
          <cell r="I842">
            <v>0</v>
          </cell>
          <cell r="J842">
            <v>22657</v>
          </cell>
          <cell r="K842">
            <v>2715</v>
          </cell>
          <cell r="L842">
            <v>125418</v>
          </cell>
          <cell r="M842">
            <v>0</v>
          </cell>
          <cell r="N842">
            <v>10654</v>
          </cell>
          <cell r="O842">
            <v>16048</v>
          </cell>
          <cell r="P842">
            <v>0</v>
          </cell>
          <cell r="Q842">
            <v>176520</v>
          </cell>
          <cell r="R842">
            <v>6350638</v>
          </cell>
          <cell r="S842">
            <v>0</v>
          </cell>
        </row>
        <row r="843">
          <cell r="E843" t="str">
            <v>K407</v>
          </cell>
          <cell r="F843">
            <v>1</v>
          </cell>
          <cell r="G843">
            <v>0.51961000000000002</v>
          </cell>
          <cell r="H843">
            <v>0.42463000000000001</v>
          </cell>
          <cell r="I843">
            <v>0</v>
          </cell>
          <cell r="J843">
            <v>3.5699999999999998E-3</v>
          </cell>
          <cell r="K843">
            <v>4.2999999999999999E-4</v>
          </cell>
          <cell r="L843">
            <v>1.975E-2</v>
          </cell>
          <cell r="M843">
            <v>0</v>
          </cell>
          <cell r="N843">
            <v>1.6800000000000001E-3</v>
          </cell>
          <cell r="O843">
            <v>2.5300000000000001E-3</v>
          </cell>
          <cell r="P843">
            <v>0</v>
          </cell>
          <cell r="Q843">
            <v>2.7799999999999998E-2</v>
          </cell>
          <cell r="R843">
            <v>1</v>
          </cell>
          <cell r="S843">
            <v>0</v>
          </cell>
        </row>
        <row r="844">
          <cell r="F844">
            <v>243058</v>
          </cell>
          <cell r="G844">
            <v>126269</v>
          </cell>
          <cell r="H844">
            <v>102622</v>
          </cell>
          <cell r="I844">
            <v>171</v>
          </cell>
          <cell r="J844">
            <v>832</v>
          </cell>
          <cell r="K844">
            <v>112</v>
          </cell>
          <cell r="L844">
            <v>4804</v>
          </cell>
          <cell r="M844">
            <v>37</v>
          </cell>
          <cell r="N844">
            <v>410</v>
          </cell>
          <cell r="O844">
            <v>620</v>
          </cell>
          <cell r="P844">
            <v>394</v>
          </cell>
          <cell r="Q844">
            <v>6787</v>
          </cell>
          <cell r="R844">
            <v>243058</v>
          </cell>
          <cell r="S844">
            <v>0</v>
          </cell>
        </row>
        <row r="845">
          <cell r="E845" t="str">
            <v>K409</v>
          </cell>
          <cell r="F845">
            <v>1</v>
          </cell>
          <cell r="G845">
            <v>0.51951999999999998</v>
          </cell>
          <cell r="H845">
            <v>0.42220999999999997</v>
          </cell>
          <cell r="I845">
            <v>6.9999999999999999E-4</v>
          </cell>
          <cell r="J845">
            <v>3.4199999999999999E-3</v>
          </cell>
          <cell r="K845">
            <v>4.6000000000000001E-4</v>
          </cell>
          <cell r="L845">
            <v>1.976E-2</v>
          </cell>
          <cell r="M845">
            <v>1.4999999999999999E-4</v>
          </cell>
          <cell r="N845">
            <v>1.6900000000000001E-3</v>
          </cell>
          <cell r="O845">
            <v>2.5500000000000002E-3</v>
          </cell>
          <cell r="P845">
            <v>1.6199999999999999E-3</v>
          </cell>
          <cell r="Q845">
            <v>2.792E-2</v>
          </cell>
          <cell r="R845">
            <v>1</v>
          </cell>
          <cell r="S845">
            <v>0</v>
          </cell>
        </row>
        <row r="846">
          <cell r="F846">
            <v>1498164.3299999998</v>
          </cell>
          <cell r="G846">
            <v>1370864</v>
          </cell>
          <cell r="H846">
            <v>62282.329999999842</v>
          </cell>
          <cell r="I846">
            <v>409</v>
          </cell>
          <cell r="J846">
            <v>432</v>
          </cell>
          <cell r="K846">
            <v>20</v>
          </cell>
          <cell r="L846">
            <v>31779</v>
          </cell>
          <cell r="M846">
            <v>21269</v>
          </cell>
          <cell r="N846">
            <v>642</v>
          </cell>
          <cell r="O846">
            <v>9153</v>
          </cell>
          <cell r="P846">
            <v>1309</v>
          </cell>
          <cell r="Q846">
            <v>5</v>
          </cell>
          <cell r="R846">
            <v>1498164.3299999998</v>
          </cell>
          <cell r="S846">
            <v>0</v>
          </cell>
        </row>
        <row r="847">
          <cell r="E847" t="str">
            <v>K411</v>
          </cell>
          <cell r="F847">
            <v>1</v>
          </cell>
          <cell r="G847">
            <v>0.91503999999999996</v>
          </cell>
          <cell r="H847">
            <v>4.1570000000000003E-2</v>
          </cell>
          <cell r="I847">
            <v>2.7E-4</v>
          </cell>
          <cell r="J847">
            <v>2.9E-4</v>
          </cell>
          <cell r="K847">
            <v>1.0000000000000001E-5</v>
          </cell>
          <cell r="L847">
            <v>2.121E-2</v>
          </cell>
          <cell r="M847">
            <v>1.4200000000000001E-2</v>
          </cell>
          <cell r="N847">
            <v>4.2999999999999999E-4</v>
          </cell>
          <cell r="O847">
            <v>6.11E-3</v>
          </cell>
          <cell r="P847">
            <v>8.7000000000000001E-4</v>
          </cell>
          <cell r="Q847">
            <v>0</v>
          </cell>
          <cell r="R847">
            <v>0.99999999999999989</v>
          </cell>
          <cell r="S847">
            <v>0</v>
          </cell>
        </row>
        <row r="848">
          <cell r="F848">
            <v>4178319049</v>
          </cell>
          <cell r="G848">
            <v>1508499412</v>
          </cell>
          <cell r="H848">
            <v>1170020285</v>
          </cell>
          <cell r="I848">
            <v>6457090</v>
          </cell>
          <cell r="J848">
            <v>19810437</v>
          </cell>
          <cell r="K848">
            <v>277908</v>
          </cell>
          <cell r="L848">
            <v>703656372</v>
          </cell>
          <cell r="M848">
            <v>514497482</v>
          </cell>
          <cell r="N848">
            <v>16235892</v>
          </cell>
          <cell r="O848">
            <v>218940404</v>
          </cell>
          <cell r="P848">
            <v>19741342</v>
          </cell>
          <cell r="Q848">
            <v>182425</v>
          </cell>
          <cell r="R848">
            <v>4178319049</v>
          </cell>
          <cell r="S848">
            <v>0</v>
          </cell>
        </row>
        <row r="849">
          <cell r="E849" t="str">
            <v>K302</v>
          </cell>
          <cell r="F849">
            <v>1</v>
          </cell>
          <cell r="G849">
            <v>0.36102000000000001</v>
          </cell>
          <cell r="H849">
            <v>0.28001999999999999</v>
          </cell>
          <cell r="I849">
            <v>1.5499999999999999E-3</v>
          </cell>
          <cell r="J849">
            <v>4.7400000000000003E-3</v>
          </cell>
          <cell r="K849">
            <v>6.9999999999999994E-5</v>
          </cell>
          <cell r="L849">
            <v>0.16841</v>
          </cell>
          <cell r="M849">
            <v>0.12314</v>
          </cell>
          <cell r="N849">
            <v>3.8899999999999998E-3</v>
          </cell>
          <cell r="O849">
            <v>5.2400000000000002E-2</v>
          </cell>
          <cell r="P849">
            <v>4.7200000000000002E-3</v>
          </cell>
          <cell r="Q849">
            <v>4.0000000000000003E-5</v>
          </cell>
          <cell r="R849">
            <v>1</v>
          </cell>
          <cell r="S849">
            <v>0</v>
          </cell>
        </row>
        <row r="851">
          <cell r="E851" t="str">
            <v>R600</v>
          </cell>
          <cell r="F851">
            <v>17828</v>
          </cell>
          <cell r="G851">
            <v>17892</v>
          </cell>
          <cell r="H851">
            <v>-792</v>
          </cell>
          <cell r="I851">
            <v>5</v>
          </cell>
          <cell r="J851">
            <v>-7</v>
          </cell>
          <cell r="K851">
            <v>-4</v>
          </cell>
          <cell r="L851">
            <v>388</v>
          </cell>
          <cell r="M851">
            <v>312</v>
          </cell>
          <cell r="N851">
            <v>4</v>
          </cell>
          <cell r="O851">
            <v>121</v>
          </cell>
          <cell r="P851">
            <v>18</v>
          </cell>
          <cell r="Q851">
            <v>-109</v>
          </cell>
          <cell r="R851">
            <v>17828</v>
          </cell>
          <cell r="S851">
            <v>0</v>
          </cell>
        </row>
        <row r="852">
          <cell r="E852" t="str">
            <v>R602</v>
          </cell>
          <cell r="F852">
            <v>67548</v>
          </cell>
          <cell r="G852">
            <v>83583</v>
          </cell>
          <cell r="H852">
            <v>-18295</v>
          </cell>
          <cell r="I852">
            <v>36</v>
          </cell>
          <cell r="J852">
            <v>-159</v>
          </cell>
          <cell r="K852">
            <v>-36</v>
          </cell>
          <cell r="L852">
            <v>1527</v>
          </cell>
          <cell r="M852">
            <v>1759</v>
          </cell>
          <cell r="N852">
            <v>-36</v>
          </cell>
          <cell r="O852">
            <v>598</v>
          </cell>
          <cell r="P852">
            <v>98</v>
          </cell>
          <cell r="Q852">
            <v>-1527</v>
          </cell>
          <cell r="R852">
            <v>67548</v>
          </cell>
          <cell r="S852">
            <v>0</v>
          </cell>
        </row>
        <row r="854">
          <cell r="R854" t="str">
            <v>FR-16(7)(v)-9</v>
          </cell>
        </row>
        <row r="855">
          <cell r="R855" t="str">
            <v>WITNESS RESPONSIBLE:</v>
          </cell>
        </row>
        <row r="856">
          <cell r="R856" t="str">
            <v>JAMES E. ZIOLKOWSKI</v>
          </cell>
        </row>
        <row r="857">
          <cell r="R857" t="str">
            <v>PAGE 17 OF 18</v>
          </cell>
        </row>
        <row r="860">
          <cell r="F860" t="str">
            <v>TOTAL</v>
          </cell>
          <cell r="H860" t="str">
            <v>DS</v>
          </cell>
          <cell r="I860" t="str">
            <v>GSFL</v>
          </cell>
          <cell r="J860" t="str">
            <v>EH</v>
          </cell>
          <cell r="K860" t="str">
            <v>SP</v>
          </cell>
          <cell r="L860" t="str">
            <v>DT SEC</v>
          </cell>
          <cell r="M860" t="str">
            <v>DT PRI</v>
          </cell>
          <cell r="N860" t="str">
            <v>DP</v>
          </cell>
          <cell r="O860" t="str">
            <v>TT</v>
          </cell>
          <cell r="Q860" t="str">
            <v>OTHER</v>
          </cell>
        </row>
        <row r="861">
          <cell r="F861" t="str">
            <v>TRANSMISSION</v>
          </cell>
          <cell r="G861" t="str">
            <v>RS</v>
          </cell>
          <cell r="H861" t="str">
            <v>SECONDARY</v>
          </cell>
          <cell r="I861" t="str">
            <v>SECONDARY</v>
          </cell>
          <cell r="J861" t="str">
            <v>SECONDARY</v>
          </cell>
          <cell r="K861" t="str">
            <v>SECONDARY</v>
          </cell>
          <cell r="L861" t="str">
            <v>SECONDARY</v>
          </cell>
          <cell r="M861" t="str">
            <v>PRIMARY</v>
          </cell>
          <cell r="N861" t="str">
            <v>PRIMARY</v>
          </cell>
          <cell r="O861" t="str">
            <v>TRANSMISSION</v>
          </cell>
          <cell r="P861" t="str">
            <v>LT</v>
          </cell>
          <cell r="Q861" t="str">
            <v>WATER</v>
          </cell>
          <cell r="R861" t="str">
            <v>TOTAL</v>
          </cell>
          <cell r="S861" t="str">
            <v>ALL</v>
          </cell>
        </row>
        <row r="862">
          <cell r="E862" t="str">
            <v>ALLO</v>
          </cell>
          <cell r="F862" t="str">
            <v>CUSTOMER</v>
          </cell>
          <cell r="G862" t="str">
            <v>RESIDENTIAL</v>
          </cell>
          <cell r="H862" t="str">
            <v>DISTRIBUTION</v>
          </cell>
          <cell r="I862" t="str">
            <v>DISTRIBUTION</v>
          </cell>
          <cell r="J862" t="str">
            <v>DISTRIBUTION</v>
          </cell>
          <cell r="K862" t="str">
            <v>DISTRIBUTION</v>
          </cell>
          <cell r="L862" t="str">
            <v>DISTRIBUTION</v>
          </cell>
          <cell r="M862" t="str">
            <v>DISTRIBUTION</v>
          </cell>
          <cell r="N862" t="str">
            <v>DISTRIBUTION</v>
          </cell>
          <cell r="O862" t="str">
            <v>TIME OF DAY</v>
          </cell>
          <cell r="P862" t="str">
            <v>LIGHTING</v>
          </cell>
          <cell r="Q862" t="str">
            <v>PUMPING</v>
          </cell>
          <cell r="R862" t="str">
            <v>AT ISSUE</v>
          </cell>
          <cell r="S862" t="str">
            <v>OTHER</v>
          </cell>
        </row>
        <row r="863">
          <cell r="E863">
            <v>1</v>
          </cell>
          <cell r="G863">
            <v>3</v>
          </cell>
          <cell r="H863">
            <v>4</v>
          </cell>
          <cell r="I863">
            <v>5</v>
          </cell>
          <cell r="J863">
            <v>6</v>
          </cell>
          <cell r="K863">
            <v>7</v>
          </cell>
          <cell r="L863">
            <v>8</v>
          </cell>
          <cell r="M863">
            <v>9</v>
          </cell>
          <cell r="N863">
            <v>10</v>
          </cell>
          <cell r="O863">
            <v>11</v>
          </cell>
          <cell r="P863">
            <v>12</v>
          </cell>
          <cell r="Q863">
            <v>13</v>
          </cell>
          <cell r="S863" t="str">
            <v xml:space="preserve"> </v>
          </cell>
        </row>
        <row r="865">
          <cell r="F865">
            <v>304312778</v>
          </cell>
          <cell r="G865">
            <v>120391018</v>
          </cell>
          <cell r="H865">
            <v>89967454</v>
          </cell>
          <cell r="I865">
            <v>589997</v>
          </cell>
          <cell r="J865">
            <v>623628</v>
          </cell>
          <cell r="K865">
            <v>28730</v>
          </cell>
          <cell r="L865">
            <v>45903624</v>
          </cell>
          <cell r="M865">
            <v>30722085</v>
          </cell>
          <cell r="N865">
            <v>926746</v>
          </cell>
          <cell r="O865">
            <v>13220511</v>
          </cell>
          <cell r="P865">
            <v>1889364</v>
          </cell>
          <cell r="Q865">
            <v>7414</v>
          </cell>
          <cell r="R865">
            <v>304270571</v>
          </cell>
          <cell r="S865">
            <v>42207</v>
          </cell>
        </row>
        <row r="866">
          <cell r="E866" t="str">
            <v>K901</v>
          </cell>
          <cell r="F866">
            <v>1</v>
          </cell>
          <cell r="G866">
            <v>0.39562000000000003</v>
          </cell>
          <cell r="H866">
            <v>0.295641394</v>
          </cell>
          <cell r="I866">
            <v>1.9387849999999999E-3</v>
          </cell>
          <cell r="J866">
            <v>2.0492990000000001E-3</v>
          </cell>
          <cell r="K866">
            <v>9.4408999999999997E-5</v>
          </cell>
          <cell r="L866">
            <v>0.15084356400000001</v>
          </cell>
          <cell r="M866">
            <v>0.100955619</v>
          </cell>
          <cell r="N866">
            <v>3.0453730000000001E-3</v>
          </cell>
          <cell r="O866">
            <v>4.3443824999999998E-2</v>
          </cell>
          <cell r="P866">
            <v>6.2086249999999997E-3</v>
          </cell>
          <cell r="Q866">
            <v>2.4363E-5</v>
          </cell>
          <cell r="R866">
            <v>0.99986525599999998</v>
          </cell>
          <cell r="S866">
            <v>1.3474400000001996E-4</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K902</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72">
          <cell r="E872" t="str">
            <v>P129</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row>
        <row r="873">
          <cell r="E873" t="str">
            <v>T129</v>
          </cell>
          <cell r="F873">
            <v>1</v>
          </cell>
          <cell r="G873">
            <v>1</v>
          </cell>
          <cell r="H873">
            <v>0</v>
          </cell>
          <cell r="I873">
            <v>0</v>
          </cell>
          <cell r="J873">
            <v>0</v>
          </cell>
          <cell r="K873">
            <v>0</v>
          </cell>
          <cell r="L873">
            <v>0</v>
          </cell>
          <cell r="M873">
            <v>0</v>
          </cell>
          <cell r="N873">
            <v>0</v>
          </cell>
          <cell r="O873">
            <v>0</v>
          </cell>
          <cell r="P873">
            <v>0</v>
          </cell>
          <cell r="Q873">
            <v>0</v>
          </cell>
          <cell r="R873">
            <v>1</v>
          </cell>
          <cell r="S873">
            <v>0</v>
          </cell>
        </row>
        <row r="874">
          <cell r="E874" t="str">
            <v>PT29</v>
          </cell>
          <cell r="F874">
            <v>1</v>
          </cell>
          <cell r="G874">
            <v>1</v>
          </cell>
          <cell r="H874">
            <v>0</v>
          </cell>
          <cell r="I874">
            <v>0</v>
          </cell>
          <cell r="J874">
            <v>0</v>
          </cell>
          <cell r="K874">
            <v>0</v>
          </cell>
          <cell r="L874">
            <v>0</v>
          </cell>
          <cell r="M874">
            <v>0</v>
          </cell>
          <cell r="N874">
            <v>0</v>
          </cell>
          <cell r="O874">
            <v>0</v>
          </cell>
          <cell r="P874">
            <v>0</v>
          </cell>
          <cell r="Q874">
            <v>0</v>
          </cell>
          <cell r="R874">
            <v>1</v>
          </cell>
          <cell r="S874">
            <v>0</v>
          </cell>
        </row>
        <row r="875">
          <cell r="E875" t="str">
            <v>D149</v>
          </cell>
          <cell r="F875">
            <v>0</v>
          </cell>
          <cell r="G875">
            <v>0</v>
          </cell>
          <cell r="H875">
            <v>0.42463000000000001</v>
          </cell>
          <cell r="I875">
            <v>0</v>
          </cell>
          <cell r="J875">
            <v>3.5599999999999998E-3</v>
          </cell>
          <cell r="K875">
            <v>4.2999999999999999E-4</v>
          </cell>
          <cell r="L875">
            <v>1.976E-2</v>
          </cell>
          <cell r="M875">
            <v>0</v>
          </cell>
          <cell r="N875">
            <v>1.6800000000000001E-3</v>
          </cell>
          <cell r="O875">
            <v>2.5400000000000002E-3</v>
          </cell>
          <cell r="P875">
            <v>0</v>
          </cell>
          <cell r="Q875">
            <v>2.7810000000000001E-2</v>
          </cell>
          <cell r="R875">
            <v>0.48041</v>
          </cell>
          <cell r="S875">
            <v>-0.48041</v>
          </cell>
        </row>
        <row r="876">
          <cell r="E876" t="str">
            <v>TD29</v>
          </cell>
          <cell r="F876">
            <v>1</v>
          </cell>
          <cell r="G876">
            <v>0.51959</v>
          </cell>
          <cell r="H876">
            <v>0.42463000000000001</v>
          </cell>
          <cell r="I876">
            <v>0</v>
          </cell>
          <cell r="J876">
            <v>3.5599999999999998E-3</v>
          </cell>
          <cell r="K876">
            <v>4.2999999999999999E-4</v>
          </cell>
          <cell r="L876">
            <v>1.976E-2</v>
          </cell>
          <cell r="M876">
            <v>0</v>
          </cell>
          <cell r="N876">
            <v>1.6800000000000001E-3</v>
          </cell>
          <cell r="O876">
            <v>2.5400000000000002E-3</v>
          </cell>
          <cell r="P876">
            <v>0</v>
          </cell>
          <cell r="Q876">
            <v>2.7810000000000001E-2</v>
          </cell>
          <cell r="R876">
            <v>1</v>
          </cell>
          <cell r="S876">
            <v>0</v>
          </cell>
        </row>
        <row r="877">
          <cell r="E877" t="str">
            <v>PD29</v>
          </cell>
          <cell r="F877">
            <v>1</v>
          </cell>
          <cell r="G877">
            <v>1.2948500000000001</v>
          </cell>
          <cell r="H877">
            <v>-0.32606000000000002</v>
          </cell>
          <cell r="I877">
            <v>5.1000000000000004E-4</v>
          </cell>
          <cell r="J877">
            <v>-2.8999999999999998E-3</v>
          </cell>
          <cell r="K877">
            <v>-5.1000000000000004E-4</v>
          </cell>
          <cell r="L877">
            <v>2.2679999999999999E-2</v>
          </cell>
          <cell r="M877">
            <v>2.7799999999999998E-2</v>
          </cell>
          <cell r="N877">
            <v>-8.4999999999999995E-4</v>
          </cell>
          <cell r="O877">
            <v>9.3799999999999994E-3</v>
          </cell>
          <cell r="P877">
            <v>1.5299999999999999E-3</v>
          </cell>
          <cell r="Q877">
            <v>-2.6429999999999999E-2</v>
          </cell>
          <cell r="R877">
            <v>1</v>
          </cell>
          <cell r="S877">
            <v>0</v>
          </cell>
        </row>
        <row r="878">
          <cell r="E878" t="str">
            <v>G129</v>
          </cell>
          <cell r="F878">
            <v>1</v>
          </cell>
          <cell r="G878">
            <v>1.2948599999999999</v>
          </cell>
          <cell r="H878">
            <v>-0.32607999999999998</v>
          </cell>
          <cell r="I878">
            <v>4.6999999999999999E-4</v>
          </cell>
          <cell r="J878">
            <v>-2.9499999999999999E-3</v>
          </cell>
          <cell r="K878">
            <v>-4.6999999999999999E-4</v>
          </cell>
          <cell r="L878">
            <v>2.2839999999999999E-2</v>
          </cell>
          <cell r="M878">
            <v>2.7810000000000001E-2</v>
          </cell>
          <cell r="N878">
            <v>-7.7999999999999999E-4</v>
          </cell>
          <cell r="O878">
            <v>9.3200000000000002E-3</v>
          </cell>
          <cell r="P878">
            <v>1.5499999999999999E-3</v>
          </cell>
          <cell r="Q878">
            <v>-2.657E-2</v>
          </cell>
          <cell r="R878">
            <v>1</v>
          </cell>
          <cell r="S878">
            <v>0</v>
          </cell>
        </row>
        <row r="879">
          <cell r="E879" t="str">
            <v>C129</v>
          </cell>
          <cell r="F879">
            <v>1</v>
          </cell>
          <cell r="G879">
            <v>0.64300000000000002</v>
          </cell>
          <cell r="H879">
            <v>0.30513000000000001</v>
          </cell>
          <cell r="I879">
            <v>8.0000000000000007E-5</v>
          </cell>
          <cell r="J879">
            <v>2.5200000000000001E-3</v>
          </cell>
          <cell r="K879">
            <v>2.7999999999999998E-4</v>
          </cell>
          <cell r="L879">
            <v>2.0240000000000001E-2</v>
          </cell>
          <cell r="M879">
            <v>4.4299999999999999E-3</v>
          </cell>
          <cell r="N879">
            <v>1.2800000000000001E-3</v>
          </cell>
          <cell r="O879">
            <v>3.62E-3</v>
          </cell>
          <cell r="P879">
            <v>2.5000000000000001E-4</v>
          </cell>
          <cell r="Q879">
            <v>1.917E-2</v>
          </cell>
          <cell r="R879">
            <v>0.99999999999999989</v>
          </cell>
          <cell r="S879">
            <v>0</v>
          </cell>
        </row>
        <row r="880">
          <cell r="E880" t="str">
            <v>GP19</v>
          </cell>
          <cell r="F880">
            <v>0</v>
          </cell>
          <cell r="G880">
            <v>0</v>
          </cell>
          <cell r="H880">
            <v>0.42474000000000001</v>
          </cell>
          <cell r="I880">
            <v>0</v>
          </cell>
          <cell r="J880">
            <v>3.3999999999999998E-3</v>
          </cell>
          <cell r="K880">
            <v>3.8000000000000002E-4</v>
          </cell>
          <cell r="L880">
            <v>1.9290000000000002E-2</v>
          </cell>
          <cell r="M880">
            <v>0</v>
          </cell>
          <cell r="N880">
            <v>1.89E-3</v>
          </cell>
          <cell r="O880">
            <v>2.65E-3</v>
          </cell>
          <cell r="P880">
            <v>0</v>
          </cell>
          <cell r="Q880">
            <v>2.7609999999999999E-2</v>
          </cell>
          <cell r="R880">
            <v>0.47996000000000005</v>
          </cell>
          <cell r="S880">
            <v>-0.47996000000000005</v>
          </cell>
        </row>
        <row r="881">
          <cell r="E881" t="str">
            <v>DR19</v>
          </cell>
          <cell r="F881">
            <v>1</v>
          </cell>
          <cell r="G881">
            <v>1.12174</v>
          </cell>
          <cell r="H881">
            <v>-0.15823000000000001</v>
          </cell>
          <cell r="I881">
            <v>4.2999999999999999E-4</v>
          </cell>
          <cell r="J881">
            <v>-1.6299999999999999E-3</v>
          </cell>
          <cell r="K881">
            <v>-3.4000000000000002E-4</v>
          </cell>
          <cell r="L881">
            <v>2.2030000000000001E-2</v>
          </cell>
          <cell r="M881">
            <v>2.1600000000000001E-2</v>
          </cell>
          <cell r="N881">
            <v>-2.5999999999999998E-4</v>
          </cell>
          <cell r="O881">
            <v>7.92E-3</v>
          </cell>
          <cell r="P881">
            <v>1.1999999999999999E-3</v>
          </cell>
          <cell r="Q881">
            <v>-1.4460000000000001E-2</v>
          </cell>
          <cell r="R881">
            <v>1.0000000000000002</v>
          </cell>
          <cell r="S881">
            <v>0</v>
          </cell>
        </row>
        <row r="884">
          <cell r="E884" t="str">
            <v>P229</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row>
        <row r="885">
          <cell r="E885" t="str">
            <v>T229</v>
          </cell>
          <cell r="F885">
            <v>1</v>
          </cell>
          <cell r="G885">
            <v>1</v>
          </cell>
          <cell r="H885">
            <v>0</v>
          </cell>
          <cell r="I885">
            <v>0</v>
          </cell>
          <cell r="J885">
            <v>0</v>
          </cell>
          <cell r="K885">
            <v>0</v>
          </cell>
          <cell r="L885">
            <v>0</v>
          </cell>
          <cell r="M885">
            <v>0</v>
          </cell>
          <cell r="N885">
            <v>0</v>
          </cell>
          <cell r="O885">
            <v>0</v>
          </cell>
          <cell r="P885">
            <v>0</v>
          </cell>
          <cell r="Q885">
            <v>0</v>
          </cell>
          <cell r="R885">
            <v>1</v>
          </cell>
          <cell r="S885">
            <v>0</v>
          </cell>
        </row>
        <row r="886">
          <cell r="E886" t="str">
            <v>PL49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D249</v>
          </cell>
          <cell r="F887">
            <v>0</v>
          </cell>
          <cell r="G887">
            <v>0</v>
          </cell>
          <cell r="H887">
            <v>0.42462</v>
          </cell>
          <cell r="I887">
            <v>0</v>
          </cell>
          <cell r="J887">
            <v>3.5599999999999998E-3</v>
          </cell>
          <cell r="K887">
            <v>4.2999999999999999E-4</v>
          </cell>
          <cell r="L887">
            <v>1.9779999999999999E-2</v>
          </cell>
          <cell r="M887">
            <v>0</v>
          </cell>
          <cell r="N887">
            <v>1.67E-3</v>
          </cell>
          <cell r="O887">
            <v>2.5300000000000001E-3</v>
          </cell>
          <cell r="P887">
            <v>0</v>
          </cell>
          <cell r="Q887">
            <v>2.7820000000000001E-2</v>
          </cell>
          <cell r="R887">
            <v>0.48041</v>
          </cell>
          <cell r="S887">
            <v>-0.48041</v>
          </cell>
        </row>
        <row r="888">
          <cell r="E888" t="str">
            <v>NT29</v>
          </cell>
          <cell r="F888">
            <v>1</v>
          </cell>
          <cell r="G888">
            <v>0.51959</v>
          </cell>
          <cell r="H888">
            <v>0.42462</v>
          </cell>
          <cell r="I888">
            <v>0</v>
          </cell>
          <cell r="J888">
            <v>3.5599999999999998E-3</v>
          </cell>
          <cell r="K888">
            <v>4.2999999999999999E-4</v>
          </cell>
          <cell r="L888">
            <v>1.9779999999999999E-2</v>
          </cell>
          <cell r="M888">
            <v>0</v>
          </cell>
          <cell r="N888">
            <v>1.67E-3</v>
          </cell>
          <cell r="O888">
            <v>2.5300000000000001E-3</v>
          </cell>
          <cell r="P888">
            <v>0</v>
          </cell>
          <cell r="Q888">
            <v>2.7820000000000001E-2</v>
          </cell>
          <cell r="R888">
            <v>1</v>
          </cell>
          <cell r="S888">
            <v>0</v>
          </cell>
        </row>
        <row r="889">
          <cell r="E889" t="str">
            <v>G229</v>
          </cell>
          <cell r="F889">
            <v>1</v>
          </cell>
          <cell r="G889">
            <v>1.2841</v>
          </cell>
          <cell r="H889">
            <v>-0.31596999999999997</v>
          </cell>
          <cell r="I889">
            <v>3.2000000000000003E-4</v>
          </cell>
          <cell r="J889">
            <v>-2.5300000000000001E-3</v>
          </cell>
          <cell r="K889">
            <v>-3.2000000000000003E-4</v>
          </cell>
          <cell r="L889">
            <v>2.2409999999999999E-2</v>
          </cell>
          <cell r="M889">
            <v>2.7459999999999998E-2</v>
          </cell>
          <cell r="N889">
            <v>-6.3000000000000003E-4</v>
          </cell>
          <cell r="O889">
            <v>9.1500000000000001E-3</v>
          </cell>
          <cell r="P889">
            <v>1.58E-3</v>
          </cell>
          <cell r="Q889">
            <v>-2.5569999999999999E-2</v>
          </cell>
          <cell r="R889">
            <v>1</v>
          </cell>
          <cell r="S889">
            <v>0</v>
          </cell>
        </row>
        <row r="890">
          <cell r="E890" t="str">
            <v>C229</v>
          </cell>
          <cell r="F890">
            <v>1</v>
          </cell>
          <cell r="G890">
            <v>1.27742</v>
          </cell>
          <cell r="H890">
            <v>-0.30968000000000001</v>
          </cell>
          <cell r="I890">
            <v>0</v>
          </cell>
          <cell r="J890">
            <v>0</v>
          </cell>
          <cell r="K890">
            <v>0</v>
          </cell>
          <cell r="L890">
            <v>2.581E-2</v>
          </cell>
          <cell r="M890">
            <v>2.581E-2</v>
          </cell>
          <cell r="N890">
            <v>0</v>
          </cell>
          <cell r="O890">
            <v>6.45E-3</v>
          </cell>
          <cell r="P890">
            <v>0</v>
          </cell>
          <cell r="Q890">
            <v>-2.581E-2</v>
          </cell>
          <cell r="R890">
            <v>1</v>
          </cell>
          <cell r="S890">
            <v>0</v>
          </cell>
        </row>
        <row r="891">
          <cell r="E891" t="str">
            <v>NP29</v>
          </cell>
          <cell r="F891">
            <v>1</v>
          </cell>
          <cell r="G891">
            <v>0.55825000000000002</v>
          </cell>
          <cell r="H891">
            <v>0.38714999999999999</v>
          </cell>
          <cell r="I891">
            <v>2.0000000000000002E-5</v>
          </cell>
          <cell r="J891">
            <v>3.2599999999999999E-3</v>
          </cell>
          <cell r="K891">
            <v>4.0000000000000002E-4</v>
          </cell>
          <cell r="L891">
            <v>1.992E-2</v>
          </cell>
          <cell r="M891">
            <v>1.39E-3</v>
          </cell>
          <cell r="N891">
            <v>1.5499999999999999E-3</v>
          </cell>
          <cell r="O891">
            <v>2.8600000000000001E-3</v>
          </cell>
          <cell r="P891">
            <v>8.0000000000000007E-5</v>
          </cell>
          <cell r="Q891">
            <v>2.512E-2</v>
          </cell>
          <cell r="R891">
            <v>1</v>
          </cell>
          <cell r="S891">
            <v>0</v>
          </cell>
        </row>
        <row r="894">
          <cell r="E894" t="str">
            <v>W669</v>
          </cell>
          <cell r="F894">
            <v>1</v>
          </cell>
          <cell r="G894">
            <v>1.29521</v>
          </cell>
          <cell r="H894">
            <v>-0.32611000000000001</v>
          </cell>
          <cell r="I894">
            <v>6.4000000000000005E-4</v>
          </cell>
          <cell r="J894">
            <v>-2.8700000000000002E-3</v>
          </cell>
          <cell r="K894">
            <v>-6.4000000000000005E-4</v>
          </cell>
          <cell r="L894">
            <v>2.2630000000000001E-2</v>
          </cell>
          <cell r="M894">
            <v>2.7730000000000001E-2</v>
          </cell>
          <cell r="N894">
            <v>-9.6000000000000002E-4</v>
          </cell>
          <cell r="O894">
            <v>9.2399999999999999E-3</v>
          </cell>
          <cell r="P894">
            <v>1.5900000000000001E-3</v>
          </cell>
          <cell r="Q894">
            <v>-2.6460000000000001E-2</v>
          </cell>
          <cell r="R894">
            <v>0.99999999999999967</v>
          </cell>
          <cell r="S894">
            <v>0</v>
          </cell>
        </row>
        <row r="895">
          <cell r="E895" t="str">
            <v>W689</v>
          </cell>
          <cell r="F895">
            <v>1</v>
          </cell>
          <cell r="G895">
            <v>1</v>
          </cell>
          <cell r="H895">
            <v>0</v>
          </cell>
          <cell r="I895">
            <v>0</v>
          </cell>
          <cell r="J895">
            <v>0</v>
          </cell>
          <cell r="K895">
            <v>0</v>
          </cell>
          <cell r="L895">
            <v>0</v>
          </cell>
          <cell r="M895">
            <v>0</v>
          </cell>
          <cell r="N895">
            <v>0</v>
          </cell>
          <cell r="O895">
            <v>0</v>
          </cell>
          <cell r="P895">
            <v>0</v>
          </cell>
          <cell r="Q895">
            <v>0</v>
          </cell>
          <cell r="R895">
            <v>1</v>
          </cell>
          <cell r="S895">
            <v>0</v>
          </cell>
        </row>
        <row r="896">
          <cell r="E896" t="str">
            <v>W719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W749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WC79</v>
          </cell>
          <cell r="F898">
            <v>1</v>
          </cell>
          <cell r="G898">
            <v>1.29521</v>
          </cell>
          <cell r="H898">
            <v>-0.32611000000000001</v>
          </cell>
          <cell r="I898">
            <v>6.4000000000000005E-4</v>
          </cell>
          <cell r="J898">
            <v>-2.8700000000000002E-3</v>
          </cell>
          <cell r="K898">
            <v>-6.4000000000000005E-4</v>
          </cell>
          <cell r="L898">
            <v>2.2630000000000001E-2</v>
          </cell>
          <cell r="M898">
            <v>2.7730000000000001E-2</v>
          </cell>
          <cell r="N898">
            <v>-9.6000000000000002E-4</v>
          </cell>
          <cell r="O898">
            <v>9.2399999999999999E-3</v>
          </cell>
          <cell r="P898">
            <v>1.5900000000000001E-3</v>
          </cell>
          <cell r="Q898">
            <v>-2.6460000000000001E-2</v>
          </cell>
          <cell r="R898">
            <v>0.99999999999999967</v>
          </cell>
          <cell r="S898">
            <v>0</v>
          </cell>
        </row>
        <row r="901">
          <cell r="E901" t="str">
            <v>RB29</v>
          </cell>
          <cell r="F901">
            <v>1</v>
          </cell>
          <cell r="G901">
            <v>0.57505000000000006</v>
          </cell>
          <cell r="H901">
            <v>0.37076999999999999</v>
          </cell>
          <cell r="I901">
            <v>5.0000000000000002E-5</v>
          </cell>
          <cell r="J901">
            <v>3.16E-3</v>
          </cell>
          <cell r="K901">
            <v>3.8999999999999999E-4</v>
          </cell>
          <cell r="L901">
            <v>1.9939999999999999E-2</v>
          </cell>
          <cell r="M901">
            <v>1.99E-3</v>
          </cell>
          <cell r="N901">
            <v>1.5299999999999999E-3</v>
          </cell>
          <cell r="O901">
            <v>3.0500000000000002E-3</v>
          </cell>
          <cell r="P901">
            <v>1.3999999999999999E-4</v>
          </cell>
          <cell r="Q901">
            <v>2.393E-2</v>
          </cell>
          <cell r="R901">
            <v>1.0000000000000002</v>
          </cell>
          <cell r="S901">
            <v>0</v>
          </cell>
        </row>
        <row r="902">
          <cell r="E902" t="str">
            <v>RB99</v>
          </cell>
          <cell r="F902">
            <v>1</v>
          </cell>
          <cell r="G902">
            <v>0.62331000000000003</v>
          </cell>
          <cell r="H902">
            <v>0.32407000000000002</v>
          </cell>
          <cell r="I902">
            <v>9.0000000000000006E-5</v>
          </cell>
          <cell r="J902">
            <v>2.7599999999999999E-3</v>
          </cell>
          <cell r="K902">
            <v>3.2000000000000003E-4</v>
          </cell>
          <cell r="L902">
            <v>2.0119999999999999E-2</v>
          </cell>
          <cell r="M902">
            <v>3.7200000000000002E-3</v>
          </cell>
          <cell r="N902">
            <v>1.3699999999999999E-3</v>
          </cell>
          <cell r="O902">
            <v>3.46E-3</v>
          </cell>
          <cell r="P902">
            <v>2.3000000000000001E-4</v>
          </cell>
          <cell r="Q902">
            <v>2.0549999999999999E-2</v>
          </cell>
          <cell r="R902">
            <v>1</v>
          </cell>
          <cell r="S902">
            <v>0</v>
          </cell>
        </row>
        <row r="903">
          <cell r="E903" t="str">
            <v>CW29</v>
          </cell>
          <cell r="F903">
            <v>1</v>
          </cell>
          <cell r="G903">
            <v>1</v>
          </cell>
          <cell r="H903">
            <v>0</v>
          </cell>
          <cell r="I903">
            <v>0</v>
          </cell>
          <cell r="J903">
            <v>0</v>
          </cell>
          <cell r="K903">
            <v>0</v>
          </cell>
          <cell r="L903">
            <v>0</v>
          </cell>
          <cell r="M903">
            <v>0</v>
          </cell>
          <cell r="N903">
            <v>0</v>
          </cell>
          <cell r="O903">
            <v>0</v>
          </cell>
          <cell r="P903">
            <v>0</v>
          </cell>
          <cell r="Q903">
            <v>0</v>
          </cell>
          <cell r="R903">
            <v>1</v>
          </cell>
          <cell r="S903">
            <v>0</v>
          </cell>
        </row>
        <row r="905">
          <cell r="R905" t="str">
            <v>FR-16(7)(v)-9</v>
          </cell>
        </row>
        <row r="906">
          <cell r="R906" t="str">
            <v>WITNESS RESPONSIBLE:</v>
          </cell>
        </row>
        <row r="907">
          <cell r="R907" t="str">
            <v>JAMES E. ZIOLKOWSKI</v>
          </cell>
        </row>
        <row r="908">
          <cell r="R908" t="str">
            <v>PAGE 18 OF 18</v>
          </cell>
        </row>
        <row r="911">
          <cell r="F911" t="str">
            <v>TOTAL</v>
          </cell>
          <cell r="H911" t="str">
            <v>DS</v>
          </cell>
          <cell r="I911" t="str">
            <v>GSFL</v>
          </cell>
          <cell r="J911" t="str">
            <v>EH</v>
          </cell>
          <cell r="K911" t="str">
            <v>SP</v>
          </cell>
          <cell r="L911" t="str">
            <v>DT SEC</v>
          </cell>
          <cell r="M911" t="str">
            <v>DT PRI</v>
          </cell>
          <cell r="N911" t="str">
            <v>DP</v>
          </cell>
          <cell r="O911" t="str">
            <v>TT</v>
          </cell>
          <cell r="Q911" t="str">
            <v>OTHER</v>
          </cell>
        </row>
        <row r="912">
          <cell r="F912" t="str">
            <v>TRANSMISSION</v>
          </cell>
          <cell r="G912" t="str">
            <v>RS</v>
          </cell>
          <cell r="H912" t="str">
            <v>SECONDARY</v>
          </cell>
          <cell r="I912" t="str">
            <v>SECONDARY</v>
          </cell>
          <cell r="J912" t="str">
            <v>SECONDARY</v>
          </cell>
          <cell r="K912" t="str">
            <v>SECONDARY</v>
          </cell>
          <cell r="L912" t="str">
            <v>SECONDARY</v>
          </cell>
          <cell r="M912" t="str">
            <v>PRIMARY</v>
          </cell>
          <cell r="N912" t="str">
            <v>PRIMARY</v>
          </cell>
          <cell r="O912" t="str">
            <v>TRANSMISSION</v>
          </cell>
          <cell r="P912" t="str">
            <v>LT</v>
          </cell>
          <cell r="Q912" t="str">
            <v>WATER</v>
          </cell>
          <cell r="R912" t="str">
            <v>TOTAL</v>
          </cell>
          <cell r="S912" t="str">
            <v>ALL</v>
          </cell>
        </row>
        <row r="913">
          <cell r="E913" t="str">
            <v>ALLO</v>
          </cell>
          <cell r="F913" t="str">
            <v>CUSTOMER</v>
          </cell>
          <cell r="G913" t="str">
            <v>RESIDENTIAL</v>
          </cell>
          <cell r="H913" t="str">
            <v>DISTRIBUTION</v>
          </cell>
          <cell r="I913" t="str">
            <v>DISTRIBUTION</v>
          </cell>
          <cell r="J913" t="str">
            <v>DISTRIBUTION</v>
          </cell>
          <cell r="K913" t="str">
            <v>DISTRIBUTION</v>
          </cell>
          <cell r="L913" t="str">
            <v>DISTRIBUTION</v>
          </cell>
          <cell r="M913" t="str">
            <v>DISTRIBUTION</v>
          </cell>
          <cell r="N913" t="str">
            <v>DISTRIBUTION</v>
          </cell>
          <cell r="O913" t="str">
            <v>TIME OF DAY</v>
          </cell>
          <cell r="P913" t="str">
            <v>LIGHTING</v>
          </cell>
          <cell r="Q913" t="str">
            <v>PUMPING</v>
          </cell>
          <cell r="R913" t="str">
            <v>AT ISSUE</v>
          </cell>
          <cell r="S913" t="str">
            <v>OTHER</v>
          </cell>
        </row>
        <row r="914">
          <cell r="E914">
            <v>1</v>
          </cell>
          <cell r="G914">
            <v>3</v>
          </cell>
          <cell r="H914">
            <v>4</v>
          </cell>
          <cell r="I914">
            <v>5</v>
          </cell>
          <cell r="J914">
            <v>6</v>
          </cell>
          <cell r="K914">
            <v>7</v>
          </cell>
          <cell r="L914">
            <v>8</v>
          </cell>
          <cell r="M914">
            <v>9</v>
          </cell>
          <cell r="N914">
            <v>10</v>
          </cell>
          <cell r="O914">
            <v>11</v>
          </cell>
          <cell r="P914">
            <v>12</v>
          </cell>
          <cell r="Q914">
            <v>13</v>
          </cell>
          <cell r="S914" t="str">
            <v xml:space="preserve"> </v>
          </cell>
        </row>
        <row r="916">
          <cell r="E916" t="str">
            <v>P349</v>
          </cell>
          <cell r="F916">
            <v>1</v>
          </cell>
          <cell r="G916">
            <v>0</v>
          </cell>
          <cell r="H916">
            <v>0</v>
          </cell>
          <cell r="I916">
            <v>0</v>
          </cell>
          <cell r="J916">
            <v>0</v>
          </cell>
          <cell r="K916">
            <v>0</v>
          </cell>
          <cell r="L916">
            <v>0</v>
          </cell>
          <cell r="M916">
            <v>0</v>
          </cell>
          <cell r="N916">
            <v>0</v>
          </cell>
          <cell r="O916">
            <v>0</v>
          </cell>
          <cell r="P916">
            <v>0</v>
          </cell>
          <cell r="Q916">
            <v>0</v>
          </cell>
          <cell r="R916">
            <v>0</v>
          </cell>
          <cell r="S916">
            <v>1</v>
          </cell>
        </row>
        <row r="917">
          <cell r="E917" t="str">
            <v>E349</v>
          </cell>
          <cell r="F917">
            <v>1</v>
          </cell>
          <cell r="G917">
            <v>0</v>
          </cell>
          <cell r="H917">
            <v>0</v>
          </cell>
          <cell r="I917">
            <v>0</v>
          </cell>
          <cell r="J917">
            <v>0</v>
          </cell>
          <cell r="K917">
            <v>0</v>
          </cell>
          <cell r="L917">
            <v>0</v>
          </cell>
          <cell r="M917">
            <v>0</v>
          </cell>
          <cell r="N917">
            <v>0</v>
          </cell>
          <cell r="O917">
            <v>0</v>
          </cell>
          <cell r="P917">
            <v>0</v>
          </cell>
          <cell r="Q917">
            <v>0</v>
          </cell>
          <cell r="R917">
            <v>0</v>
          </cell>
          <cell r="S917">
            <v>1</v>
          </cell>
        </row>
        <row r="918">
          <cell r="E918" t="str">
            <v>P459</v>
          </cell>
          <cell r="F918">
            <v>1</v>
          </cell>
          <cell r="G918">
            <v>0</v>
          </cell>
          <cell r="H918">
            <v>0</v>
          </cell>
          <cell r="I918">
            <v>0</v>
          </cell>
          <cell r="J918">
            <v>0</v>
          </cell>
          <cell r="K918">
            <v>0</v>
          </cell>
          <cell r="L918">
            <v>0</v>
          </cell>
          <cell r="M918">
            <v>0</v>
          </cell>
          <cell r="N918">
            <v>0</v>
          </cell>
          <cell r="O918">
            <v>0</v>
          </cell>
          <cell r="P918">
            <v>0</v>
          </cell>
          <cell r="Q918">
            <v>0</v>
          </cell>
          <cell r="R918">
            <v>0</v>
          </cell>
          <cell r="S918">
            <v>1</v>
          </cell>
        </row>
        <row r="919">
          <cell r="E919" t="str">
            <v>T349</v>
          </cell>
          <cell r="F919">
            <v>1</v>
          </cell>
          <cell r="G919">
            <v>0</v>
          </cell>
          <cell r="H919">
            <v>0</v>
          </cell>
          <cell r="I919">
            <v>0</v>
          </cell>
          <cell r="J919">
            <v>0</v>
          </cell>
          <cell r="K919">
            <v>0</v>
          </cell>
          <cell r="L919">
            <v>0</v>
          </cell>
          <cell r="M919">
            <v>0</v>
          </cell>
          <cell r="N919">
            <v>0</v>
          </cell>
          <cell r="O919">
            <v>0</v>
          </cell>
          <cell r="P919">
            <v>0</v>
          </cell>
          <cell r="Q919">
            <v>0</v>
          </cell>
          <cell r="R919">
            <v>0</v>
          </cell>
          <cell r="S919">
            <v>1</v>
          </cell>
        </row>
        <row r="920">
          <cell r="E920" t="str">
            <v>D349</v>
          </cell>
          <cell r="F920">
            <v>1</v>
          </cell>
          <cell r="G920">
            <v>0.52029999999999998</v>
          </cell>
          <cell r="H920">
            <v>0.42520999999999998</v>
          </cell>
          <cell r="I920">
            <v>0</v>
          </cell>
          <cell r="J920">
            <v>3.2100000000000002E-3</v>
          </cell>
          <cell r="K920">
            <v>0</v>
          </cell>
          <cell r="L920">
            <v>1.9230000000000001E-2</v>
          </cell>
          <cell r="M920">
            <v>0</v>
          </cell>
          <cell r="N920">
            <v>2.14E-3</v>
          </cell>
          <cell r="O920">
            <v>2.14E-3</v>
          </cell>
          <cell r="P920">
            <v>0</v>
          </cell>
          <cell r="Q920">
            <v>2.7779999999999999E-2</v>
          </cell>
          <cell r="R920">
            <v>1.0000100000000001</v>
          </cell>
          <cell r="S920">
            <v>-1.0000000000065512E-5</v>
          </cell>
        </row>
        <row r="921">
          <cell r="E921" t="str">
            <v>C311</v>
          </cell>
          <cell r="F921">
            <v>1</v>
          </cell>
          <cell r="G921">
            <v>0.91515000000000002</v>
          </cell>
          <cell r="H921">
            <v>4.1549999999999997E-2</v>
          </cell>
          <cell r="I921">
            <v>2.5000000000000001E-4</v>
          </cell>
          <cell r="J921">
            <v>2.5000000000000001E-4</v>
          </cell>
          <cell r="K921">
            <v>0</v>
          </cell>
          <cell r="L921">
            <v>2.1229999999999999E-2</v>
          </cell>
          <cell r="M921">
            <v>1.4239999999999999E-2</v>
          </cell>
          <cell r="N921">
            <v>4.2000000000000002E-4</v>
          </cell>
          <cell r="O921">
            <v>6.0800000000000003E-3</v>
          </cell>
          <cell r="P921">
            <v>8.3000000000000001E-4</v>
          </cell>
          <cell r="Q921">
            <v>0</v>
          </cell>
          <cell r="R921">
            <v>0.99999999999999989</v>
          </cell>
          <cell r="S921">
            <v>0</v>
          </cell>
        </row>
        <row r="922">
          <cell r="E922" t="str">
            <v>C319</v>
          </cell>
          <cell r="F922">
            <v>1</v>
          </cell>
          <cell r="G922">
            <v>1.2947500000000001</v>
          </cell>
          <cell r="H922">
            <v>-0.32617000000000002</v>
          </cell>
          <cell r="I922">
            <v>6.0999999999999997E-4</v>
          </cell>
          <cell r="J922">
            <v>-2.8400000000000001E-3</v>
          </cell>
          <cell r="K922">
            <v>-6.0999999999999997E-4</v>
          </cell>
          <cell r="L922">
            <v>2.2700000000000001E-2</v>
          </cell>
          <cell r="M922">
            <v>2.7969999999999998E-2</v>
          </cell>
          <cell r="N922">
            <v>-8.0999999999999996E-4</v>
          </cell>
          <cell r="O922">
            <v>9.3200000000000002E-3</v>
          </cell>
          <cell r="P922">
            <v>1.6199999999999999E-3</v>
          </cell>
          <cell r="Q922">
            <v>-2.656E-2</v>
          </cell>
          <cell r="R922">
            <v>0.99997999999999998</v>
          </cell>
          <cell r="S922">
            <v>2.0000000000020002E-5</v>
          </cell>
        </row>
        <row r="923">
          <cell r="E923" t="str">
            <v>C331</v>
          </cell>
          <cell r="F923">
            <v>1</v>
          </cell>
          <cell r="G923">
            <v>0</v>
          </cell>
          <cell r="H923">
            <v>0</v>
          </cell>
          <cell r="I923">
            <v>0</v>
          </cell>
          <cell r="J923">
            <v>0</v>
          </cell>
          <cell r="K923">
            <v>0</v>
          </cell>
          <cell r="L923">
            <v>0</v>
          </cell>
          <cell r="M923">
            <v>0</v>
          </cell>
          <cell r="N923">
            <v>0</v>
          </cell>
          <cell r="O923">
            <v>0</v>
          </cell>
          <cell r="P923">
            <v>0</v>
          </cell>
          <cell r="Q923">
            <v>0</v>
          </cell>
          <cell r="R923">
            <v>0</v>
          </cell>
          <cell r="S923">
            <v>1</v>
          </cell>
        </row>
        <row r="924">
          <cell r="E924" t="str">
            <v>S319</v>
          </cell>
          <cell r="F924">
            <v>1</v>
          </cell>
          <cell r="G924">
            <v>0</v>
          </cell>
          <cell r="H924">
            <v>0</v>
          </cell>
          <cell r="I924">
            <v>0</v>
          </cell>
          <cell r="J924">
            <v>0</v>
          </cell>
          <cell r="K924">
            <v>0</v>
          </cell>
          <cell r="L924">
            <v>0</v>
          </cell>
          <cell r="M924">
            <v>0</v>
          </cell>
          <cell r="N924">
            <v>0</v>
          </cell>
          <cell r="O924">
            <v>0</v>
          </cell>
          <cell r="P924">
            <v>0</v>
          </cell>
          <cell r="Q924">
            <v>0</v>
          </cell>
          <cell r="R924">
            <v>0</v>
          </cell>
          <cell r="S924">
            <v>1</v>
          </cell>
        </row>
        <row r="925">
          <cell r="E925" t="str">
            <v>OM39</v>
          </cell>
          <cell r="F925">
            <v>1</v>
          </cell>
          <cell r="G925">
            <v>1.20333</v>
          </cell>
          <cell r="H925">
            <v>-0.23763000000000001</v>
          </cell>
          <cell r="I925">
            <v>5.2999999999999998E-4</v>
          </cell>
          <cell r="J925">
            <v>-2.1099999999999999E-3</v>
          </cell>
          <cell r="K925">
            <v>-5.2999999999999998E-4</v>
          </cell>
          <cell r="L925">
            <v>2.2370000000000001E-2</v>
          </cell>
          <cell r="M925">
            <v>2.4740000000000002E-2</v>
          </cell>
          <cell r="N925">
            <v>-4.4000000000000002E-4</v>
          </cell>
          <cell r="O925">
            <v>8.5100000000000002E-3</v>
          </cell>
          <cell r="P925">
            <v>1.4E-3</v>
          </cell>
          <cell r="Q925">
            <v>-2.018E-2</v>
          </cell>
          <cell r="R925">
            <v>0.99999000000000027</v>
          </cell>
          <cell r="S925">
            <v>9.9999999997324451E-6</v>
          </cell>
        </row>
        <row r="928">
          <cell r="E928" t="str">
            <v>A300</v>
          </cell>
          <cell r="F928">
            <v>1</v>
          </cell>
          <cell r="G928">
            <v>0</v>
          </cell>
          <cell r="H928">
            <v>0</v>
          </cell>
          <cell r="I928">
            <v>0</v>
          </cell>
          <cell r="J928">
            <v>0</v>
          </cell>
          <cell r="K928">
            <v>0</v>
          </cell>
          <cell r="L928">
            <v>0</v>
          </cell>
          <cell r="M928">
            <v>0</v>
          </cell>
          <cell r="N928">
            <v>0</v>
          </cell>
          <cell r="O928">
            <v>0</v>
          </cell>
          <cell r="P928">
            <v>0</v>
          </cell>
          <cell r="Q928">
            <v>0</v>
          </cell>
          <cell r="R928">
            <v>0</v>
          </cell>
          <cell r="S928">
            <v>1</v>
          </cell>
        </row>
        <row r="929">
          <cell r="E929" t="str">
            <v>A302</v>
          </cell>
          <cell r="F929">
            <v>1</v>
          </cell>
          <cell r="G929">
            <v>0</v>
          </cell>
          <cell r="H929">
            <v>0</v>
          </cell>
          <cell r="I929">
            <v>0</v>
          </cell>
          <cell r="J929">
            <v>0</v>
          </cell>
          <cell r="K929">
            <v>0</v>
          </cell>
          <cell r="L929">
            <v>0</v>
          </cell>
          <cell r="M929">
            <v>0</v>
          </cell>
          <cell r="N929">
            <v>0</v>
          </cell>
          <cell r="O929">
            <v>0</v>
          </cell>
          <cell r="P929">
            <v>0</v>
          </cell>
          <cell r="Q929">
            <v>0</v>
          </cell>
          <cell r="R929">
            <v>0</v>
          </cell>
          <cell r="S929">
            <v>1</v>
          </cell>
        </row>
        <row r="930">
          <cell r="E930" t="str">
            <v>A304</v>
          </cell>
          <cell r="F930">
            <v>1</v>
          </cell>
          <cell r="G930">
            <v>0</v>
          </cell>
          <cell r="H930">
            <v>0</v>
          </cell>
          <cell r="I930">
            <v>0</v>
          </cell>
          <cell r="J930">
            <v>0</v>
          </cell>
          <cell r="K930">
            <v>0</v>
          </cell>
          <cell r="L930">
            <v>0</v>
          </cell>
          <cell r="M930">
            <v>0</v>
          </cell>
          <cell r="N930">
            <v>0</v>
          </cell>
          <cell r="O930">
            <v>0</v>
          </cell>
          <cell r="P930">
            <v>0</v>
          </cell>
          <cell r="Q930">
            <v>0</v>
          </cell>
          <cell r="R930">
            <v>0</v>
          </cell>
          <cell r="S930">
            <v>1</v>
          </cell>
        </row>
        <row r="931">
          <cell r="E931" t="str">
            <v>A306</v>
          </cell>
          <cell r="F931">
            <v>1</v>
          </cell>
          <cell r="G931">
            <v>0.51851999999999998</v>
          </cell>
          <cell r="H931">
            <v>0.42424000000000001</v>
          </cell>
          <cell r="I931">
            <v>0</v>
          </cell>
          <cell r="J931">
            <v>3.3700000000000002E-3</v>
          </cell>
          <cell r="K931">
            <v>0</v>
          </cell>
          <cell r="L931">
            <v>2.0199999999999999E-2</v>
          </cell>
          <cell r="M931">
            <v>0</v>
          </cell>
          <cell r="N931">
            <v>3.3700000000000002E-3</v>
          </cell>
          <cell r="O931">
            <v>3.3700000000000002E-3</v>
          </cell>
          <cell r="P931">
            <v>0</v>
          </cell>
          <cell r="Q931">
            <v>2.6939999999999999E-2</v>
          </cell>
          <cell r="R931">
            <v>1.0000100000000001</v>
          </cell>
          <cell r="S931">
            <v>-1.0000000000065512E-5</v>
          </cell>
        </row>
        <row r="932">
          <cell r="E932" t="str">
            <v>A308</v>
          </cell>
          <cell r="F932">
            <v>1</v>
          </cell>
          <cell r="G932">
            <v>1.29478</v>
          </cell>
          <cell r="H932">
            <v>-0.3261</v>
          </cell>
          <cell r="I932">
            <v>5.4000000000000001E-4</v>
          </cell>
          <cell r="J932">
            <v>-2.9499999999999999E-3</v>
          </cell>
          <cell r="K932">
            <v>-5.4000000000000001E-4</v>
          </cell>
          <cell r="L932">
            <v>2.2759999999999999E-2</v>
          </cell>
          <cell r="M932">
            <v>2.784E-2</v>
          </cell>
          <cell r="N932">
            <v>-8.0000000000000004E-4</v>
          </cell>
          <cell r="O932">
            <v>9.3699999999999999E-3</v>
          </cell>
          <cell r="P932">
            <v>1.6100000000000001E-3</v>
          </cell>
          <cell r="Q932">
            <v>-2.6509999999999999E-2</v>
          </cell>
          <cell r="R932">
            <v>1</v>
          </cell>
          <cell r="S932">
            <v>0</v>
          </cell>
        </row>
        <row r="933">
          <cell r="E933" t="str">
            <v>A310</v>
          </cell>
          <cell r="F933">
            <v>1</v>
          </cell>
          <cell r="G933">
            <v>0</v>
          </cell>
          <cell r="H933">
            <v>0</v>
          </cell>
          <cell r="I933">
            <v>0</v>
          </cell>
          <cell r="J933">
            <v>0</v>
          </cell>
          <cell r="K933">
            <v>0</v>
          </cell>
          <cell r="L933">
            <v>0</v>
          </cell>
          <cell r="M933">
            <v>0</v>
          </cell>
          <cell r="N933">
            <v>0</v>
          </cell>
          <cell r="O933">
            <v>0</v>
          </cell>
          <cell r="P933">
            <v>0</v>
          </cell>
          <cell r="Q933">
            <v>0</v>
          </cell>
          <cell r="R933">
            <v>0</v>
          </cell>
          <cell r="S933">
            <v>1</v>
          </cell>
        </row>
        <row r="934">
          <cell r="E934" t="str">
            <v>A312</v>
          </cell>
          <cell r="F934">
            <v>1</v>
          </cell>
          <cell r="G934">
            <v>0</v>
          </cell>
          <cell r="H934">
            <v>0</v>
          </cell>
          <cell r="I934">
            <v>0</v>
          </cell>
          <cell r="J934">
            <v>0</v>
          </cell>
          <cell r="K934">
            <v>0</v>
          </cell>
          <cell r="L934">
            <v>0</v>
          </cell>
          <cell r="M934">
            <v>0</v>
          </cell>
          <cell r="N934">
            <v>0</v>
          </cell>
          <cell r="O934">
            <v>0</v>
          </cell>
          <cell r="P934">
            <v>0</v>
          </cell>
          <cell r="Q934">
            <v>0</v>
          </cell>
          <cell r="R934">
            <v>0</v>
          </cell>
          <cell r="S934">
            <v>1</v>
          </cell>
        </row>
        <row r="935">
          <cell r="E935" t="str">
            <v>A315</v>
          </cell>
          <cell r="F935">
            <v>1</v>
          </cell>
          <cell r="G935">
            <v>1.2376</v>
          </cell>
          <cell r="H935">
            <v>-0.27083000000000002</v>
          </cell>
          <cell r="I935">
            <v>5.0000000000000001E-4</v>
          </cell>
          <cell r="J935">
            <v>-2.48E-3</v>
          </cell>
          <cell r="K935">
            <v>-5.0000000000000001E-4</v>
          </cell>
          <cell r="L935">
            <v>2.257E-2</v>
          </cell>
          <cell r="M935">
            <v>2.579E-2</v>
          </cell>
          <cell r="N935">
            <v>-5.0000000000000001E-4</v>
          </cell>
          <cell r="O935">
            <v>8.9300000000000004E-3</v>
          </cell>
          <cell r="P935">
            <v>1.49E-3</v>
          </cell>
          <cell r="Q935">
            <v>-2.257E-2</v>
          </cell>
          <cell r="R935">
            <v>1.0000000000000002</v>
          </cell>
          <cell r="S935">
            <v>0</v>
          </cell>
        </row>
        <row r="936">
          <cell r="E936" t="str">
            <v>A357</v>
          </cell>
          <cell r="F936">
            <v>1</v>
          </cell>
          <cell r="G936">
            <v>1.23739</v>
          </cell>
          <cell r="H936">
            <v>-0.27084000000000003</v>
          </cell>
          <cell r="I936">
            <v>5.4000000000000001E-4</v>
          </cell>
          <cell r="J936">
            <v>-2.3500000000000001E-3</v>
          </cell>
          <cell r="K936">
            <v>-5.4000000000000001E-4</v>
          </cell>
          <cell r="L936">
            <v>2.2599999999999999E-2</v>
          </cell>
          <cell r="M936">
            <v>2.6040000000000001E-2</v>
          </cell>
          <cell r="N936">
            <v>-5.4000000000000001E-4</v>
          </cell>
          <cell r="O936">
            <v>8.8599999999999998E-3</v>
          </cell>
          <cell r="P936">
            <v>1.4499999999999999E-3</v>
          </cell>
          <cell r="Q936">
            <v>-2.2599999999999999E-2</v>
          </cell>
          <cell r="R936">
            <v>1.0000100000000001</v>
          </cell>
          <cell r="S936">
            <v>-1.0000000000065512E-5</v>
          </cell>
        </row>
        <row r="939">
          <cell r="E939" t="str">
            <v>P489</v>
          </cell>
          <cell r="F939">
            <v>1</v>
          </cell>
          <cell r="G939">
            <v>0</v>
          </cell>
          <cell r="H939">
            <v>0</v>
          </cell>
          <cell r="I939">
            <v>0</v>
          </cell>
          <cell r="J939">
            <v>0</v>
          </cell>
          <cell r="K939">
            <v>0</v>
          </cell>
          <cell r="L939">
            <v>0</v>
          </cell>
          <cell r="M939">
            <v>0</v>
          </cell>
          <cell r="N939">
            <v>0</v>
          </cell>
          <cell r="O939">
            <v>0</v>
          </cell>
          <cell r="P939">
            <v>0</v>
          </cell>
          <cell r="Q939">
            <v>0</v>
          </cell>
          <cell r="R939">
            <v>0</v>
          </cell>
          <cell r="S939">
            <v>1</v>
          </cell>
        </row>
        <row r="940">
          <cell r="E940" t="str">
            <v>T489</v>
          </cell>
          <cell r="F940">
            <v>1</v>
          </cell>
          <cell r="G940">
            <v>0</v>
          </cell>
          <cell r="H940">
            <v>0</v>
          </cell>
          <cell r="I940">
            <v>0</v>
          </cell>
          <cell r="J940">
            <v>0</v>
          </cell>
          <cell r="K940">
            <v>0</v>
          </cell>
          <cell r="L940">
            <v>0</v>
          </cell>
          <cell r="M940">
            <v>0</v>
          </cell>
          <cell r="N940">
            <v>0</v>
          </cell>
          <cell r="O940">
            <v>0</v>
          </cell>
          <cell r="P940">
            <v>0</v>
          </cell>
          <cell r="Q940">
            <v>0</v>
          </cell>
          <cell r="R940">
            <v>0</v>
          </cell>
          <cell r="S940">
            <v>1</v>
          </cell>
        </row>
        <row r="941">
          <cell r="E941" t="str">
            <v>D489</v>
          </cell>
          <cell r="F941">
            <v>1</v>
          </cell>
          <cell r="G941">
            <v>0.51980999999999999</v>
          </cell>
          <cell r="H941">
            <v>0.42459999999999998</v>
          </cell>
          <cell r="I941">
            <v>0</v>
          </cell>
          <cell r="J941">
            <v>3.47E-3</v>
          </cell>
          <cell r="K941">
            <v>3.5E-4</v>
          </cell>
          <cell r="L941">
            <v>1.9810000000000001E-2</v>
          </cell>
          <cell r="M941">
            <v>0</v>
          </cell>
          <cell r="N941">
            <v>1.74E-3</v>
          </cell>
          <cell r="O941">
            <v>2.4299999999999999E-3</v>
          </cell>
          <cell r="P941">
            <v>0</v>
          </cell>
          <cell r="Q941">
            <v>2.7799999999999998E-2</v>
          </cell>
          <cell r="R941">
            <v>1.0000099999999998</v>
          </cell>
          <cell r="S941">
            <v>-9.9999999998434674E-6</v>
          </cell>
        </row>
        <row r="942">
          <cell r="E942" t="str">
            <v>G489</v>
          </cell>
          <cell r="F942">
            <v>1</v>
          </cell>
          <cell r="G942">
            <v>1.2837799999999999</v>
          </cell>
          <cell r="H942">
            <v>-0.31587999999999999</v>
          </cell>
          <cell r="I942">
            <v>0</v>
          </cell>
          <cell r="J942">
            <v>-1.6900000000000001E-3</v>
          </cell>
          <cell r="K942">
            <v>0</v>
          </cell>
          <cell r="L942">
            <v>2.196E-2</v>
          </cell>
          <cell r="M942">
            <v>2.7029999999999998E-2</v>
          </cell>
          <cell r="N942">
            <v>0</v>
          </cell>
          <cell r="O942">
            <v>8.4499999999999992E-3</v>
          </cell>
          <cell r="P942">
            <v>1.6900000000000001E-3</v>
          </cell>
          <cell r="Q942">
            <v>-2.5340000000000001E-2</v>
          </cell>
          <cell r="R942">
            <v>1.0000000000000002</v>
          </cell>
          <cell r="S942">
            <v>0</v>
          </cell>
        </row>
        <row r="943">
          <cell r="E943" t="str">
            <v>C489</v>
          </cell>
          <cell r="F943">
            <v>1</v>
          </cell>
          <cell r="G943">
            <v>1.2982499999999999</v>
          </cell>
          <cell r="H943">
            <v>-0.31579000000000002</v>
          </cell>
          <cell r="I943">
            <v>0</v>
          </cell>
          <cell r="J943">
            <v>0</v>
          </cell>
          <cell r="K943">
            <v>0</v>
          </cell>
          <cell r="L943">
            <v>1.754E-2</v>
          </cell>
          <cell r="M943">
            <v>1.754E-2</v>
          </cell>
          <cell r="N943">
            <v>0</v>
          </cell>
          <cell r="O943">
            <v>0</v>
          </cell>
          <cell r="P943">
            <v>0</v>
          </cell>
          <cell r="Q943">
            <v>-1.754E-2</v>
          </cell>
          <cell r="R943">
            <v>0.99999999999999989</v>
          </cell>
          <cell r="S943">
            <v>0</v>
          </cell>
        </row>
        <row r="944">
          <cell r="E944" t="str">
            <v>DE49</v>
          </cell>
          <cell r="F944">
            <v>1</v>
          </cell>
          <cell r="G944">
            <v>0.66061999999999999</v>
          </cell>
          <cell r="H944">
            <v>0.28835</v>
          </cell>
          <cell r="I944">
            <v>0</v>
          </cell>
          <cell r="J944">
            <v>2.5500000000000002E-3</v>
          </cell>
          <cell r="K944">
            <v>2.7999999999999998E-4</v>
          </cell>
          <cell r="L944">
            <v>2.0129999999999999E-2</v>
          </cell>
          <cell r="M944">
            <v>4.8199999999999996E-3</v>
          </cell>
          <cell r="N944">
            <v>1.42E-3</v>
          </cell>
          <cell r="O944">
            <v>3.3999999999999998E-3</v>
          </cell>
          <cell r="P944">
            <v>2.7999999999999998E-4</v>
          </cell>
          <cell r="Q944">
            <v>1.8149999999999999E-2</v>
          </cell>
          <cell r="R944">
            <v>0.99999999999999989</v>
          </cell>
          <cell r="S944">
            <v>0</v>
          </cell>
        </row>
        <row r="947">
          <cell r="E947" t="str">
            <v>L529</v>
          </cell>
          <cell r="F947">
            <v>1</v>
          </cell>
          <cell r="G947">
            <v>0.55905000000000005</v>
          </cell>
          <cell r="H947">
            <v>0.38693</v>
          </cell>
          <cell r="I947">
            <v>0</v>
          </cell>
          <cell r="J947">
            <v>3.7699999999999999E-3</v>
          </cell>
          <cell r="K947">
            <v>0</v>
          </cell>
          <cell r="L947">
            <v>2.01E-2</v>
          </cell>
          <cell r="M947">
            <v>1.2600000000000001E-3</v>
          </cell>
          <cell r="N947">
            <v>1.2600000000000001E-3</v>
          </cell>
          <cell r="O947">
            <v>2.5100000000000001E-3</v>
          </cell>
          <cell r="P947">
            <v>0</v>
          </cell>
          <cell r="Q947">
            <v>2.513E-2</v>
          </cell>
          <cell r="R947">
            <v>1.0000100000000003</v>
          </cell>
          <cell r="S947">
            <v>-1.0000000000287557E-5</v>
          </cell>
        </row>
        <row r="948">
          <cell r="E948" t="str">
            <v>L589</v>
          </cell>
          <cell r="F948">
            <v>1</v>
          </cell>
          <cell r="G948">
            <v>1.2349000000000001</v>
          </cell>
          <cell r="H948">
            <v>-0.27068999999999999</v>
          </cell>
          <cell r="I948">
            <v>0</v>
          </cell>
          <cell r="J948">
            <v>-2.2399999999999998E-3</v>
          </cell>
          <cell r="K948">
            <v>0</v>
          </cell>
          <cell r="L948">
            <v>2.2370000000000001E-2</v>
          </cell>
          <cell r="M948">
            <v>2.6849999999999999E-2</v>
          </cell>
          <cell r="N948">
            <v>0</v>
          </cell>
          <cell r="O948">
            <v>8.9499999999999996E-3</v>
          </cell>
          <cell r="P948">
            <v>2.2399999999999998E-3</v>
          </cell>
          <cell r="Q948">
            <v>-2.2370000000000001E-2</v>
          </cell>
          <cell r="R948">
            <v>1.0000100000000001</v>
          </cell>
          <cell r="S948">
            <v>-1.0000000000065512E-5</v>
          </cell>
        </row>
        <row r="949">
          <cell r="E949" t="str">
            <v>L599</v>
          </cell>
          <cell r="F949">
            <v>1</v>
          </cell>
          <cell r="G949">
            <v>0.79588999999999999</v>
          </cell>
          <cell r="H949">
            <v>0.15268999999999999</v>
          </cell>
          <cell r="I949">
            <v>0</v>
          </cell>
          <cell r="J949">
            <v>1.58E-3</v>
          </cell>
          <cell r="K949">
            <v>0</v>
          </cell>
          <cell r="L949">
            <v>2.2939999999999999E-2</v>
          </cell>
          <cell r="M949">
            <v>1.187E-2</v>
          </cell>
          <cell r="N949">
            <v>7.9000000000000001E-4</v>
          </cell>
          <cell r="O949">
            <v>5.5399999999999998E-3</v>
          </cell>
          <cell r="P949">
            <v>7.9000000000000001E-4</v>
          </cell>
          <cell r="Q949">
            <v>7.9100000000000004E-3</v>
          </cell>
          <cell r="R949">
            <v>0.99999999999999989</v>
          </cell>
          <cell r="S949">
            <v>0</v>
          </cell>
        </row>
        <row r="950">
          <cell r="E950" t="str">
            <v>OP69</v>
          </cell>
          <cell r="F950">
            <v>1</v>
          </cell>
          <cell r="G950">
            <v>1.0532999999999999</v>
          </cell>
          <cell r="H950">
            <v>-9.2579999999999996E-2</v>
          </cell>
          <cell r="I950">
            <v>3.6999999999999999E-4</v>
          </cell>
          <cell r="J950">
            <v>-8.0000000000000004E-4</v>
          </cell>
          <cell r="K950">
            <v>-3.1E-4</v>
          </cell>
          <cell r="L950">
            <v>2.1930000000000002E-2</v>
          </cell>
          <cell r="M950">
            <v>1.9390000000000001E-2</v>
          </cell>
          <cell r="N950">
            <v>6.0000000000000002E-5</v>
          </cell>
          <cell r="O950">
            <v>7.1599999999999997E-3</v>
          </cell>
          <cell r="P950">
            <v>1.1100000000000001E-3</v>
          </cell>
          <cell r="Q950">
            <v>-9.6299999999999997E-3</v>
          </cell>
          <cell r="R950">
            <v>0.99999999999999978</v>
          </cell>
          <cell r="S950">
            <v>0</v>
          </cell>
        </row>
        <row r="953">
          <cell r="E953" t="str">
            <v>CS09</v>
          </cell>
          <cell r="F953">
            <v>1</v>
          </cell>
          <cell r="G953">
            <v>1.003589769</v>
          </cell>
          <cell r="H953">
            <v>-4.4423392999999999E-2</v>
          </cell>
          <cell r="I953">
            <v>2.9914699999999999E-4</v>
          </cell>
          <cell r="J953">
            <v>-3.9886300000000001E-4</v>
          </cell>
          <cell r="K953">
            <v>-1.9943200000000001E-4</v>
          </cell>
          <cell r="L953">
            <v>2.1738047E-2</v>
          </cell>
          <cell r="M953">
            <v>1.7500124999999998E-2</v>
          </cell>
          <cell r="N953">
            <v>2.4928999999999999E-4</v>
          </cell>
          <cell r="O953">
            <v>6.7806749999999999E-3</v>
          </cell>
          <cell r="P953">
            <v>9.9715799999999994E-4</v>
          </cell>
          <cell r="Q953">
            <v>-6.1325219999999996E-3</v>
          </cell>
          <cell r="R953">
            <v>1.0000000010000001</v>
          </cell>
          <cell r="S953">
            <v>-1.000000082740371E-9</v>
          </cell>
        </row>
      </sheetData>
      <sheetData sheetId="12">
        <row r="814">
          <cell r="F814">
            <v>710084</v>
          </cell>
          <cell r="G814">
            <v>710084</v>
          </cell>
          <cell r="H814">
            <v>0</v>
          </cell>
          <cell r="I814">
            <v>0</v>
          </cell>
        </row>
        <row r="815">
          <cell r="E815" t="str">
            <v>K201</v>
          </cell>
          <cell r="F815">
            <v>1</v>
          </cell>
          <cell r="G815">
            <v>1</v>
          </cell>
          <cell r="H815">
            <v>0</v>
          </cell>
          <cell r="I815">
            <v>0</v>
          </cell>
        </row>
        <row r="816">
          <cell r="F816">
            <v>710084</v>
          </cell>
          <cell r="G816">
            <v>710084</v>
          </cell>
          <cell r="H816">
            <v>0</v>
          </cell>
          <cell r="I816">
            <v>0</v>
          </cell>
        </row>
        <row r="817">
          <cell r="E817" t="str">
            <v>K202</v>
          </cell>
          <cell r="F817">
            <v>1</v>
          </cell>
          <cell r="G817">
            <v>1</v>
          </cell>
          <cell r="H817">
            <v>0</v>
          </cell>
          <cell r="I817">
            <v>0</v>
          </cell>
        </row>
        <row r="818">
          <cell r="F818">
            <v>1503360</v>
          </cell>
          <cell r="G818">
            <v>1503360</v>
          </cell>
          <cell r="H818">
            <v>0</v>
          </cell>
          <cell r="I818">
            <v>0</v>
          </cell>
        </row>
        <row r="819">
          <cell r="E819" t="str">
            <v>K203</v>
          </cell>
          <cell r="F819">
            <v>1</v>
          </cell>
          <cell r="G819">
            <v>1</v>
          </cell>
          <cell r="H819">
            <v>0</v>
          </cell>
          <cell r="I819">
            <v>0</v>
          </cell>
        </row>
        <row r="820">
          <cell r="F820">
            <v>717613</v>
          </cell>
          <cell r="G820">
            <v>717613</v>
          </cell>
          <cell r="H820">
            <v>0</v>
          </cell>
          <cell r="I820">
            <v>0</v>
          </cell>
        </row>
        <row r="821">
          <cell r="E821" t="str">
            <v>K205</v>
          </cell>
          <cell r="F821">
            <v>1</v>
          </cell>
          <cell r="G821">
            <v>1</v>
          </cell>
          <cell r="H821">
            <v>0</v>
          </cell>
          <cell r="I821">
            <v>0</v>
          </cell>
        </row>
        <row r="822">
          <cell r="F822">
            <v>717613</v>
          </cell>
          <cell r="G822">
            <v>717613</v>
          </cell>
          <cell r="H822">
            <v>0</v>
          </cell>
          <cell r="I822">
            <v>0</v>
          </cell>
        </row>
        <row r="823">
          <cell r="E823" t="str">
            <v>K206</v>
          </cell>
          <cell r="F823">
            <v>1</v>
          </cell>
          <cell r="G823">
            <v>1</v>
          </cell>
          <cell r="H823">
            <v>0</v>
          </cell>
          <cell r="I823">
            <v>0</v>
          </cell>
        </row>
        <row r="824">
          <cell r="F824">
            <v>432428188</v>
          </cell>
          <cell r="G824">
            <v>303499920</v>
          </cell>
          <cell r="H824">
            <v>0</v>
          </cell>
          <cell r="I824">
            <v>128928268</v>
          </cell>
        </row>
        <row r="825">
          <cell r="E825" t="str">
            <v>K209</v>
          </cell>
          <cell r="F825">
            <v>1</v>
          </cell>
          <cell r="G825">
            <v>0.70184999999999997</v>
          </cell>
          <cell r="H825">
            <v>0</v>
          </cell>
          <cell r="I825">
            <v>0.29815000000000003</v>
          </cell>
        </row>
        <row r="826">
          <cell r="F826">
            <v>717613</v>
          </cell>
          <cell r="G826">
            <v>717613</v>
          </cell>
          <cell r="H826">
            <v>0</v>
          </cell>
          <cell r="I826">
            <v>0</v>
          </cell>
        </row>
        <row r="827">
          <cell r="E827" t="str">
            <v>K215</v>
          </cell>
          <cell r="F827">
            <v>1</v>
          </cell>
          <cell r="G827">
            <v>1</v>
          </cell>
          <cell r="H827">
            <v>0</v>
          </cell>
          <cell r="I827">
            <v>0</v>
          </cell>
        </row>
        <row r="828">
          <cell r="F828">
            <v>141934</v>
          </cell>
          <cell r="G828">
            <v>0</v>
          </cell>
          <cell r="H828">
            <v>0</v>
          </cell>
          <cell r="I828">
            <v>141934</v>
          </cell>
        </row>
        <row r="829">
          <cell r="E829" t="str">
            <v>K217</v>
          </cell>
          <cell r="F829">
            <v>1</v>
          </cell>
          <cell r="G829">
            <v>0</v>
          </cell>
          <cell r="H829">
            <v>0</v>
          </cell>
          <cell r="I829">
            <v>1</v>
          </cell>
        </row>
        <row r="830">
          <cell r="F830">
            <v>4196163573</v>
          </cell>
          <cell r="G830">
            <v>0</v>
          </cell>
          <cell r="H830">
            <v>4196163573</v>
          </cell>
          <cell r="I830">
            <v>0</v>
          </cell>
        </row>
        <row r="831">
          <cell r="E831" t="str">
            <v>K301</v>
          </cell>
          <cell r="F831">
            <v>1</v>
          </cell>
          <cell r="G831">
            <v>0</v>
          </cell>
          <cell r="H831">
            <v>1</v>
          </cell>
          <cell r="I831">
            <v>0</v>
          </cell>
        </row>
        <row r="832">
          <cell r="F832">
            <v>4196163573</v>
          </cell>
          <cell r="G832">
            <v>0</v>
          </cell>
          <cell r="H832">
            <v>4196163573</v>
          </cell>
          <cell r="I832">
            <v>0</v>
          </cell>
        </row>
        <row r="833">
          <cell r="E833" t="str">
            <v>K303</v>
          </cell>
          <cell r="F833">
            <v>1</v>
          </cell>
          <cell r="G833">
            <v>0</v>
          </cell>
          <cell r="H833">
            <v>1</v>
          </cell>
          <cell r="I833">
            <v>0</v>
          </cell>
        </row>
        <row r="834">
          <cell r="F834">
            <v>4176422231</v>
          </cell>
          <cell r="G834">
            <v>0</v>
          </cell>
          <cell r="H834">
            <v>4176422231</v>
          </cell>
          <cell r="I834">
            <v>0</v>
          </cell>
        </row>
        <row r="835">
          <cell r="E835" t="str">
            <v>K305</v>
          </cell>
          <cell r="F835">
            <v>1</v>
          </cell>
          <cell r="G835">
            <v>0</v>
          </cell>
          <cell r="H835">
            <v>1</v>
          </cell>
          <cell r="I835">
            <v>0</v>
          </cell>
        </row>
        <row r="836">
          <cell r="F836">
            <v>1</v>
          </cell>
          <cell r="G836">
            <v>1</v>
          </cell>
          <cell r="H836">
            <v>0</v>
          </cell>
          <cell r="I836">
            <v>0</v>
          </cell>
        </row>
        <row r="837">
          <cell r="E837" t="str">
            <v>K307</v>
          </cell>
          <cell r="F837">
            <v>1</v>
          </cell>
          <cell r="G837">
            <v>1</v>
          </cell>
          <cell r="H837">
            <v>0</v>
          </cell>
          <cell r="I837">
            <v>0</v>
          </cell>
        </row>
        <row r="838">
          <cell r="F838">
            <v>1</v>
          </cell>
          <cell r="G838">
            <v>0</v>
          </cell>
          <cell r="H838">
            <v>0</v>
          </cell>
          <cell r="I838">
            <v>1</v>
          </cell>
        </row>
        <row r="839">
          <cell r="E839" t="str">
            <v>K401</v>
          </cell>
          <cell r="F839">
            <v>1</v>
          </cell>
          <cell r="G839">
            <v>0</v>
          </cell>
          <cell r="H839">
            <v>0</v>
          </cell>
          <cell r="I839">
            <v>1</v>
          </cell>
        </row>
        <row r="840">
          <cell r="F840">
            <v>140014</v>
          </cell>
          <cell r="G840">
            <v>0</v>
          </cell>
          <cell r="H840">
            <v>0</v>
          </cell>
          <cell r="I840">
            <v>140014</v>
          </cell>
        </row>
        <row r="841">
          <cell r="E841" t="str">
            <v>K405</v>
          </cell>
          <cell r="F841">
            <v>1</v>
          </cell>
          <cell r="G841">
            <v>0</v>
          </cell>
          <cell r="H841">
            <v>0</v>
          </cell>
          <cell r="I841">
            <v>1</v>
          </cell>
        </row>
        <row r="842">
          <cell r="F842">
            <v>139999</v>
          </cell>
          <cell r="G842">
            <v>0</v>
          </cell>
          <cell r="H842">
            <v>0</v>
          </cell>
          <cell r="I842">
            <v>139999</v>
          </cell>
        </row>
        <row r="843">
          <cell r="E843" t="str">
            <v>K406</v>
          </cell>
          <cell r="F843">
            <v>1</v>
          </cell>
          <cell r="G843">
            <v>0</v>
          </cell>
          <cell r="H843">
            <v>0</v>
          </cell>
          <cell r="I843">
            <v>1</v>
          </cell>
        </row>
        <row r="844">
          <cell r="F844">
            <v>6350638</v>
          </cell>
          <cell r="G844">
            <v>0</v>
          </cell>
          <cell r="H844">
            <v>0</v>
          </cell>
          <cell r="I844">
            <v>6350638</v>
          </cell>
        </row>
        <row r="845">
          <cell r="E845" t="str">
            <v>K407</v>
          </cell>
          <cell r="F845">
            <v>1</v>
          </cell>
          <cell r="G845">
            <v>0</v>
          </cell>
          <cell r="H845">
            <v>0</v>
          </cell>
          <cell r="I845">
            <v>1</v>
          </cell>
        </row>
        <row r="846">
          <cell r="F846">
            <v>243058</v>
          </cell>
          <cell r="G846">
            <v>0</v>
          </cell>
          <cell r="H846">
            <v>0</v>
          </cell>
          <cell r="I846">
            <v>243058</v>
          </cell>
        </row>
        <row r="847">
          <cell r="E847" t="str">
            <v>K409</v>
          </cell>
          <cell r="F847">
            <v>1</v>
          </cell>
          <cell r="G847">
            <v>0</v>
          </cell>
          <cell r="H847">
            <v>0</v>
          </cell>
          <cell r="I847">
            <v>1</v>
          </cell>
        </row>
        <row r="848">
          <cell r="F848">
            <v>1498164.3299999998</v>
          </cell>
          <cell r="G848">
            <v>0</v>
          </cell>
          <cell r="H848">
            <v>0</v>
          </cell>
          <cell r="I848">
            <v>1498164.3299999998</v>
          </cell>
        </row>
        <row r="849">
          <cell r="E849" t="str">
            <v>K411</v>
          </cell>
          <cell r="F849">
            <v>1</v>
          </cell>
          <cell r="G849">
            <v>0</v>
          </cell>
          <cell r="H849">
            <v>0</v>
          </cell>
          <cell r="I849">
            <v>1</v>
          </cell>
        </row>
        <row r="850">
          <cell r="F850">
            <v>4178319049</v>
          </cell>
          <cell r="G850">
            <v>0</v>
          </cell>
          <cell r="H850">
            <v>4178319049</v>
          </cell>
          <cell r="I850">
            <v>0</v>
          </cell>
        </row>
        <row r="851">
          <cell r="E851" t="str">
            <v>K302</v>
          </cell>
          <cell r="F851">
            <v>1</v>
          </cell>
          <cell r="G851">
            <v>0</v>
          </cell>
          <cell r="H851">
            <v>1</v>
          </cell>
          <cell r="I851">
            <v>0</v>
          </cell>
        </row>
        <row r="853">
          <cell r="E853" t="str">
            <v>R600</v>
          </cell>
          <cell r="F853">
            <v>53772370</v>
          </cell>
          <cell r="G853">
            <v>33790186</v>
          </cell>
          <cell r="H853">
            <v>0</v>
          </cell>
          <cell r="I853">
            <v>19982184</v>
          </cell>
        </row>
        <row r="854">
          <cell r="E854" t="str">
            <v>R602</v>
          </cell>
          <cell r="F854">
            <v>109549557</v>
          </cell>
          <cell r="G854">
            <v>56252602</v>
          </cell>
          <cell r="H854">
            <v>0</v>
          </cell>
          <cell r="I854">
            <v>53296955</v>
          </cell>
        </row>
        <row r="863">
          <cell r="F863" t="str">
            <v>TOTAL</v>
          </cell>
          <cell r="G863" t="str">
            <v>CLASSIFIED</v>
          </cell>
        </row>
        <row r="864">
          <cell r="E864" t="str">
            <v>ALLO</v>
          </cell>
          <cell r="F864" t="str">
            <v>DISTRIBUTION</v>
          </cell>
          <cell r="G864" t="str">
            <v>DEMAND</v>
          </cell>
          <cell r="H864" t="str">
            <v>ENERGY</v>
          </cell>
          <cell r="I864" t="str">
            <v>CUSTOMER</v>
          </cell>
        </row>
        <row r="865">
          <cell r="E865">
            <v>1</v>
          </cell>
          <cell r="F865">
            <v>2</v>
          </cell>
          <cell r="G865">
            <v>3</v>
          </cell>
          <cell r="H865">
            <v>4</v>
          </cell>
          <cell r="I865">
            <v>5</v>
          </cell>
        </row>
        <row r="867">
          <cell r="F867">
            <v>53772370</v>
          </cell>
          <cell r="G867">
            <v>33790186</v>
          </cell>
          <cell r="H867">
            <v>0</v>
          </cell>
          <cell r="I867">
            <v>19982184</v>
          </cell>
        </row>
        <row r="868">
          <cell r="E868" t="str">
            <v>K901</v>
          </cell>
          <cell r="F868">
            <v>1</v>
          </cell>
          <cell r="G868">
            <v>0.62839</v>
          </cell>
          <cell r="H868">
            <v>0</v>
          </cell>
          <cell r="I868">
            <v>0.37161</v>
          </cell>
        </row>
        <row r="869">
          <cell r="F869">
            <v>109549557</v>
          </cell>
          <cell r="G869">
            <v>56252602</v>
          </cell>
          <cell r="H869">
            <v>0</v>
          </cell>
          <cell r="I869">
            <v>53296955</v>
          </cell>
        </row>
        <row r="870">
          <cell r="E870" t="str">
            <v>K902</v>
          </cell>
          <cell r="F870">
            <v>1</v>
          </cell>
          <cell r="G870">
            <v>0.51349</v>
          </cell>
          <cell r="H870">
            <v>0</v>
          </cell>
          <cell r="I870">
            <v>0.48651</v>
          </cell>
        </row>
        <row r="874">
          <cell r="E874" t="str">
            <v>P129</v>
          </cell>
          <cell r="F874">
            <v>0</v>
          </cell>
          <cell r="G874">
            <v>0</v>
          </cell>
          <cell r="H874">
            <v>0</v>
          </cell>
          <cell r="I874">
            <v>0</v>
          </cell>
        </row>
        <row r="875">
          <cell r="E875" t="str">
            <v>T129</v>
          </cell>
          <cell r="F875">
            <v>0</v>
          </cell>
          <cell r="G875">
            <v>0</v>
          </cell>
          <cell r="H875">
            <v>0</v>
          </cell>
          <cell r="I875">
            <v>0</v>
          </cell>
        </row>
        <row r="876">
          <cell r="E876" t="str">
            <v>PT29</v>
          </cell>
          <cell r="F876">
            <v>0</v>
          </cell>
          <cell r="G876">
            <v>0</v>
          </cell>
          <cell r="H876">
            <v>0</v>
          </cell>
          <cell r="I876">
            <v>0</v>
          </cell>
        </row>
        <row r="877">
          <cell r="E877" t="str">
            <v>D149</v>
          </cell>
          <cell r="F877">
            <v>1</v>
          </cell>
          <cell r="G877">
            <v>0.70184999999999997</v>
          </cell>
          <cell r="H877">
            <v>0</v>
          </cell>
          <cell r="I877">
            <v>0.29815000000000003</v>
          </cell>
        </row>
        <row r="878">
          <cell r="E878" t="str">
            <v>TD29</v>
          </cell>
          <cell r="F878">
            <v>1</v>
          </cell>
          <cell r="G878">
            <v>0.70184999999999997</v>
          </cell>
          <cell r="H878">
            <v>0</v>
          </cell>
          <cell r="I878">
            <v>0.29815000000000003</v>
          </cell>
        </row>
        <row r="879">
          <cell r="E879" t="str">
            <v>PD29</v>
          </cell>
          <cell r="F879">
            <v>1</v>
          </cell>
          <cell r="G879">
            <v>0</v>
          </cell>
          <cell r="H879">
            <v>0</v>
          </cell>
          <cell r="I879">
            <v>1</v>
          </cell>
        </row>
        <row r="880">
          <cell r="E880" t="str">
            <v>G129</v>
          </cell>
          <cell r="F880">
            <v>1</v>
          </cell>
          <cell r="G880">
            <v>0</v>
          </cell>
          <cell r="H880">
            <v>0</v>
          </cell>
          <cell r="I880">
            <v>1</v>
          </cell>
        </row>
        <row r="881">
          <cell r="E881" t="str">
            <v>C129</v>
          </cell>
          <cell r="F881">
            <v>1</v>
          </cell>
          <cell r="G881">
            <v>0.68494999999999995</v>
          </cell>
          <cell r="H881">
            <v>0</v>
          </cell>
          <cell r="I881">
            <v>0.31505</v>
          </cell>
        </row>
        <row r="882">
          <cell r="E882" t="str">
            <v>GP19</v>
          </cell>
          <cell r="F882">
            <v>1</v>
          </cell>
          <cell r="G882">
            <v>0.72253999999999996</v>
          </cell>
          <cell r="H882">
            <v>0</v>
          </cell>
          <cell r="I882">
            <v>0.32005</v>
          </cell>
        </row>
        <row r="883">
          <cell r="E883" t="str">
            <v>DR19</v>
          </cell>
          <cell r="F883">
            <v>1</v>
          </cell>
          <cell r="G883">
            <v>0.68391000000000002</v>
          </cell>
          <cell r="H883">
            <v>0</v>
          </cell>
          <cell r="I883">
            <v>0.35659000000000002</v>
          </cell>
        </row>
        <row r="886">
          <cell r="E886" t="str">
            <v>P229</v>
          </cell>
          <cell r="F886">
            <v>1</v>
          </cell>
          <cell r="G886">
            <v>0</v>
          </cell>
          <cell r="H886">
            <v>0</v>
          </cell>
          <cell r="I886">
            <v>0</v>
          </cell>
        </row>
        <row r="887">
          <cell r="E887" t="str">
            <v>T229</v>
          </cell>
          <cell r="F887">
            <v>1</v>
          </cell>
          <cell r="G887">
            <v>0</v>
          </cell>
          <cell r="H887">
            <v>0</v>
          </cell>
          <cell r="I887">
            <v>0</v>
          </cell>
        </row>
        <row r="888">
          <cell r="E888" t="str">
            <v>PL49</v>
          </cell>
          <cell r="F888">
            <v>1</v>
          </cell>
          <cell r="G888">
            <v>0.71513000000000004</v>
          </cell>
          <cell r="H888">
            <v>0</v>
          </cell>
          <cell r="I888">
            <v>0.28487000000000001</v>
          </cell>
        </row>
        <row r="889">
          <cell r="E889" t="str">
            <v>D249</v>
          </cell>
          <cell r="F889">
            <v>1</v>
          </cell>
          <cell r="G889">
            <v>0.70650999999999997</v>
          </cell>
          <cell r="H889">
            <v>0</v>
          </cell>
          <cell r="I889">
            <v>0.29348999999999997</v>
          </cell>
        </row>
        <row r="890">
          <cell r="E890" t="str">
            <v>NT29</v>
          </cell>
          <cell r="F890">
            <v>1</v>
          </cell>
          <cell r="G890">
            <v>0.69159000000000004</v>
          </cell>
          <cell r="H890">
            <v>0</v>
          </cell>
          <cell r="I890">
            <v>0.2873</v>
          </cell>
        </row>
        <row r="891">
          <cell r="E891" t="str">
            <v>G229</v>
          </cell>
          <cell r="F891">
            <v>1</v>
          </cell>
          <cell r="G891">
            <v>0.18167</v>
          </cell>
          <cell r="H891">
            <v>0</v>
          </cell>
          <cell r="I891">
            <v>0.81833</v>
          </cell>
        </row>
        <row r="892">
          <cell r="E892" t="str">
            <v>C229</v>
          </cell>
          <cell r="F892">
            <v>1</v>
          </cell>
          <cell r="G892">
            <v>0.27017000000000002</v>
          </cell>
          <cell r="H892">
            <v>0</v>
          </cell>
          <cell r="I892">
            <v>0.72982999999999998</v>
          </cell>
        </row>
        <row r="893">
          <cell r="E893" t="str">
            <v>NP29</v>
          </cell>
          <cell r="F893">
            <v>1</v>
          </cell>
          <cell r="G893">
            <v>0.70182999999999995</v>
          </cell>
          <cell r="H893">
            <v>0</v>
          </cell>
          <cell r="I893">
            <v>0.29816999999999999</v>
          </cell>
        </row>
        <row r="896">
          <cell r="E896" t="str">
            <v>W669</v>
          </cell>
          <cell r="F896">
            <v>1</v>
          </cell>
          <cell r="G896">
            <v>0</v>
          </cell>
          <cell r="H896">
            <v>0</v>
          </cell>
          <cell r="I896">
            <v>1</v>
          </cell>
        </row>
        <row r="897">
          <cell r="E897" t="str">
            <v>W689</v>
          </cell>
          <cell r="F897">
            <v>1</v>
          </cell>
          <cell r="G897">
            <v>0</v>
          </cell>
          <cell r="H897">
            <v>0</v>
          </cell>
          <cell r="I897">
            <v>0</v>
          </cell>
        </row>
        <row r="898">
          <cell r="E898" t="str">
            <v>W719</v>
          </cell>
          <cell r="F898">
            <v>1</v>
          </cell>
          <cell r="G898">
            <v>0</v>
          </cell>
          <cell r="H898">
            <v>0</v>
          </cell>
          <cell r="I898">
            <v>0</v>
          </cell>
        </row>
        <row r="899">
          <cell r="E899" t="str">
            <v>W749</v>
          </cell>
          <cell r="F899">
            <v>1</v>
          </cell>
          <cell r="G899">
            <v>0</v>
          </cell>
          <cell r="H899">
            <v>0</v>
          </cell>
          <cell r="I899">
            <v>0</v>
          </cell>
        </row>
        <row r="900">
          <cell r="E900" t="str">
            <v>WC79</v>
          </cell>
          <cell r="F900">
            <v>1</v>
          </cell>
          <cell r="G900">
            <v>0</v>
          </cell>
          <cell r="H900">
            <v>0</v>
          </cell>
          <cell r="I900">
            <v>1</v>
          </cell>
        </row>
        <row r="903">
          <cell r="E903" t="str">
            <v>RB29</v>
          </cell>
          <cell r="F903">
            <v>1</v>
          </cell>
          <cell r="G903">
            <v>0.70079999999999998</v>
          </cell>
          <cell r="H903">
            <v>0</v>
          </cell>
          <cell r="I903">
            <v>0.29920000000000002</v>
          </cell>
        </row>
        <row r="904">
          <cell r="E904" t="str">
            <v>RB99</v>
          </cell>
          <cell r="F904">
            <v>1</v>
          </cell>
          <cell r="G904">
            <v>0.67920000000000003</v>
          </cell>
          <cell r="H904">
            <v>0</v>
          </cell>
          <cell r="I904">
            <v>0.32079999999999997</v>
          </cell>
        </row>
        <row r="905">
          <cell r="E905" t="str">
            <v>CW29</v>
          </cell>
          <cell r="F905">
            <v>1</v>
          </cell>
          <cell r="G905">
            <v>0</v>
          </cell>
          <cell r="H905">
            <v>0</v>
          </cell>
          <cell r="I905">
            <v>0</v>
          </cell>
        </row>
        <row r="914">
          <cell r="F914" t="str">
            <v>TOTAL</v>
          </cell>
          <cell r="G914" t="str">
            <v>CLASSIFIED</v>
          </cell>
        </row>
        <row r="915">
          <cell r="E915" t="str">
            <v>ALLO</v>
          </cell>
          <cell r="F915" t="str">
            <v>DISTRIBUTION</v>
          </cell>
          <cell r="G915" t="str">
            <v>DEMAND</v>
          </cell>
          <cell r="H915" t="str">
            <v>ENERGY</v>
          </cell>
          <cell r="I915" t="str">
            <v>CUSTOMER</v>
          </cell>
        </row>
        <row r="916">
          <cell r="E916">
            <v>1</v>
          </cell>
          <cell r="F916">
            <v>2</v>
          </cell>
          <cell r="G916">
            <v>3</v>
          </cell>
          <cell r="H916">
            <v>4</v>
          </cell>
          <cell r="I916">
            <v>5</v>
          </cell>
        </row>
        <row r="918">
          <cell r="E918" t="str">
            <v>P349</v>
          </cell>
          <cell r="F918">
            <v>1</v>
          </cell>
          <cell r="G918">
            <v>0</v>
          </cell>
          <cell r="H918">
            <v>0</v>
          </cell>
          <cell r="I918">
            <v>0</v>
          </cell>
        </row>
        <row r="919">
          <cell r="E919" t="str">
            <v>E349</v>
          </cell>
          <cell r="F919">
            <v>1</v>
          </cell>
          <cell r="G919">
            <v>0</v>
          </cell>
          <cell r="H919">
            <v>0</v>
          </cell>
          <cell r="I919">
            <v>0</v>
          </cell>
        </row>
        <row r="920">
          <cell r="E920" t="str">
            <v>P459</v>
          </cell>
          <cell r="F920">
            <v>1</v>
          </cell>
          <cell r="G920">
            <v>0</v>
          </cell>
          <cell r="H920">
            <v>0</v>
          </cell>
          <cell r="I920">
            <v>0</v>
          </cell>
        </row>
        <row r="921">
          <cell r="E921" t="str">
            <v>T349</v>
          </cell>
          <cell r="F921">
            <v>1</v>
          </cell>
          <cell r="G921">
            <v>0</v>
          </cell>
          <cell r="H921">
            <v>0</v>
          </cell>
          <cell r="I921">
            <v>0</v>
          </cell>
        </row>
        <row r="922">
          <cell r="E922" t="str">
            <v>D349</v>
          </cell>
          <cell r="F922">
            <v>1</v>
          </cell>
          <cell r="G922">
            <v>0.82457000000000003</v>
          </cell>
          <cell r="H922">
            <v>0</v>
          </cell>
          <cell r="I922">
            <v>0.17543</v>
          </cell>
        </row>
        <row r="923">
          <cell r="E923" t="str">
            <v>C311</v>
          </cell>
          <cell r="F923">
            <v>1</v>
          </cell>
          <cell r="G923">
            <v>0</v>
          </cell>
          <cell r="H923">
            <v>0</v>
          </cell>
          <cell r="I923">
            <v>1</v>
          </cell>
        </row>
        <row r="924">
          <cell r="E924" t="str">
            <v>C319</v>
          </cell>
          <cell r="F924">
            <v>1</v>
          </cell>
          <cell r="G924">
            <v>0</v>
          </cell>
          <cell r="H924">
            <v>0</v>
          </cell>
          <cell r="I924">
            <v>1</v>
          </cell>
        </row>
        <row r="925">
          <cell r="E925" t="str">
            <v>C331</v>
          </cell>
          <cell r="F925">
            <v>1</v>
          </cell>
          <cell r="G925">
            <v>0</v>
          </cell>
          <cell r="H925">
            <v>0</v>
          </cell>
          <cell r="I925">
            <v>1</v>
          </cell>
        </row>
        <row r="926">
          <cell r="E926" t="str">
            <v>S319</v>
          </cell>
          <cell r="F926">
            <v>1</v>
          </cell>
          <cell r="G926">
            <v>0</v>
          </cell>
          <cell r="H926">
            <v>0</v>
          </cell>
          <cell r="I926">
            <v>1</v>
          </cell>
        </row>
        <row r="927">
          <cell r="E927" t="str">
            <v>OM39</v>
          </cell>
          <cell r="F927">
            <v>1</v>
          </cell>
          <cell r="G927">
            <v>0.57850999999999997</v>
          </cell>
          <cell r="H927">
            <v>0</v>
          </cell>
          <cell r="I927">
            <v>0.42148999999999998</v>
          </cell>
        </row>
        <row r="930">
          <cell r="E930" t="str">
            <v>A300</v>
          </cell>
          <cell r="F930">
            <v>1</v>
          </cell>
          <cell r="G930">
            <v>0</v>
          </cell>
          <cell r="H930">
            <v>0</v>
          </cell>
          <cell r="I930">
            <v>0</v>
          </cell>
        </row>
        <row r="931">
          <cell r="E931" t="str">
            <v>A302</v>
          </cell>
          <cell r="F931">
            <v>1</v>
          </cell>
          <cell r="G931">
            <v>0</v>
          </cell>
          <cell r="H931">
            <v>0</v>
          </cell>
          <cell r="I931">
            <v>0</v>
          </cell>
        </row>
        <row r="932">
          <cell r="E932" t="str">
            <v>A304</v>
          </cell>
          <cell r="F932">
            <v>1</v>
          </cell>
          <cell r="G932">
            <v>0</v>
          </cell>
          <cell r="H932">
            <v>0</v>
          </cell>
          <cell r="I932">
            <v>0</v>
          </cell>
        </row>
        <row r="933">
          <cell r="E933" t="str">
            <v>A306</v>
          </cell>
          <cell r="F933">
            <v>1</v>
          </cell>
          <cell r="G933">
            <v>0.82457000000000003</v>
          </cell>
          <cell r="H933">
            <v>0</v>
          </cell>
          <cell r="I933">
            <v>0.17543</v>
          </cell>
        </row>
        <row r="934">
          <cell r="E934" t="str">
            <v>A308</v>
          </cell>
          <cell r="F934">
            <v>1</v>
          </cell>
          <cell r="G934">
            <v>0</v>
          </cell>
          <cell r="H934">
            <v>0</v>
          </cell>
          <cell r="I934">
            <v>1</v>
          </cell>
        </row>
        <row r="935">
          <cell r="E935" t="str">
            <v>A310</v>
          </cell>
          <cell r="F935">
            <v>1</v>
          </cell>
          <cell r="G935">
            <v>0</v>
          </cell>
          <cell r="H935">
            <v>0</v>
          </cell>
          <cell r="I935">
            <v>1</v>
          </cell>
        </row>
        <row r="936">
          <cell r="E936" t="str">
            <v>A312</v>
          </cell>
          <cell r="F936">
            <v>1</v>
          </cell>
          <cell r="G936">
            <v>0</v>
          </cell>
          <cell r="H936">
            <v>0</v>
          </cell>
          <cell r="I936">
            <v>0</v>
          </cell>
        </row>
        <row r="937">
          <cell r="E937" t="str">
            <v>A315</v>
          </cell>
          <cell r="F937">
            <v>1</v>
          </cell>
          <cell r="G937">
            <v>0.51349</v>
          </cell>
          <cell r="H937">
            <v>0</v>
          </cell>
          <cell r="I937">
            <v>0.48651</v>
          </cell>
        </row>
        <row r="938">
          <cell r="E938" t="str">
            <v>A357</v>
          </cell>
          <cell r="F938">
            <v>1</v>
          </cell>
          <cell r="G938">
            <v>0.51349</v>
          </cell>
          <cell r="H938">
            <v>0</v>
          </cell>
          <cell r="I938">
            <v>0.48651</v>
          </cell>
        </row>
        <row r="941">
          <cell r="E941" t="str">
            <v>P489</v>
          </cell>
          <cell r="F941">
            <v>1</v>
          </cell>
          <cell r="G941">
            <v>0</v>
          </cell>
          <cell r="H941">
            <v>0</v>
          </cell>
          <cell r="I941">
            <v>0</v>
          </cell>
        </row>
        <row r="942">
          <cell r="E942" t="str">
            <v>T489</v>
          </cell>
          <cell r="F942">
            <v>1</v>
          </cell>
          <cell r="G942">
            <v>0</v>
          </cell>
          <cell r="H942">
            <v>0</v>
          </cell>
          <cell r="I942">
            <v>0</v>
          </cell>
        </row>
        <row r="943">
          <cell r="E943" t="str">
            <v>D489</v>
          </cell>
          <cell r="F943">
            <v>1</v>
          </cell>
          <cell r="G943">
            <v>0.70650999999999997</v>
          </cell>
          <cell r="H943">
            <v>0</v>
          </cell>
          <cell r="I943">
            <v>0.29348999999999997</v>
          </cell>
        </row>
        <row r="944">
          <cell r="E944" t="str">
            <v>G489</v>
          </cell>
          <cell r="F944">
            <v>1</v>
          </cell>
          <cell r="G944">
            <v>0.18167</v>
          </cell>
          <cell r="H944">
            <v>0</v>
          </cell>
          <cell r="I944">
            <v>0.81833</v>
          </cell>
        </row>
        <row r="945">
          <cell r="E945" t="str">
            <v>C489</v>
          </cell>
          <cell r="F945">
            <v>1</v>
          </cell>
          <cell r="G945">
            <v>0.27017000000000002</v>
          </cell>
          <cell r="H945">
            <v>0</v>
          </cell>
          <cell r="I945">
            <v>0.72982999999999998</v>
          </cell>
        </row>
        <row r="946">
          <cell r="E946" t="str">
            <v>DE49</v>
          </cell>
          <cell r="F946">
            <v>1</v>
          </cell>
          <cell r="G946">
            <v>0.68257000000000001</v>
          </cell>
          <cell r="H946">
            <v>0</v>
          </cell>
          <cell r="I946">
            <v>0.31742999999999999</v>
          </cell>
        </row>
        <row r="949">
          <cell r="E949" t="str">
            <v>L529</v>
          </cell>
          <cell r="F949">
            <v>1</v>
          </cell>
          <cell r="G949">
            <v>0.70182999999999995</v>
          </cell>
          <cell r="H949">
            <v>0</v>
          </cell>
          <cell r="I949">
            <v>0.29817000000000005</v>
          </cell>
        </row>
        <row r="950">
          <cell r="E950" t="str">
            <v>L589</v>
          </cell>
          <cell r="F950">
            <v>1</v>
          </cell>
          <cell r="G950">
            <v>0.51349</v>
          </cell>
          <cell r="H950">
            <v>0</v>
          </cell>
          <cell r="I950">
            <v>0.48651</v>
          </cell>
        </row>
        <row r="951">
          <cell r="E951" t="str">
            <v>L599</v>
          </cell>
          <cell r="F951">
            <v>1</v>
          </cell>
          <cell r="G951">
            <v>0.67083999999999999</v>
          </cell>
          <cell r="H951">
            <v>0</v>
          </cell>
          <cell r="I951">
            <v>0.32916000000000001</v>
          </cell>
        </row>
        <row r="952">
          <cell r="E952" t="str">
            <v>OP69</v>
          </cell>
          <cell r="F952">
            <v>1</v>
          </cell>
          <cell r="G952">
            <v>0.62095</v>
          </cell>
          <cell r="H952">
            <v>0</v>
          </cell>
          <cell r="I952">
            <v>0.37905</v>
          </cell>
        </row>
        <row r="955">
          <cell r="E955" t="str">
            <v>CS09</v>
          </cell>
          <cell r="F955">
            <v>1</v>
          </cell>
          <cell r="G955">
            <v>0.62839309700000001</v>
          </cell>
          <cell r="H955">
            <v>0</v>
          </cell>
          <cell r="I955">
            <v>0.37160690299999999</v>
          </cell>
        </row>
      </sheetData>
      <sheetData sheetId="13">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303499920</v>
          </cell>
          <cell r="G824">
            <v>133973974</v>
          </cell>
          <cell r="H824">
            <v>89559791</v>
          </cell>
          <cell r="I824">
            <v>403655</v>
          </cell>
          <cell r="J824">
            <v>2078974</v>
          </cell>
          <cell r="K824">
            <v>21244</v>
          </cell>
          <cell r="L824">
            <v>44104607</v>
          </cell>
          <cell r="M824">
            <v>30265012</v>
          </cell>
          <cell r="N824">
            <v>1016724</v>
          </cell>
          <cell r="O824">
            <v>0</v>
          </cell>
          <cell r="P824">
            <v>2060764</v>
          </cell>
          <cell r="Q824">
            <v>15175</v>
          </cell>
          <cell r="R824">
            <v>303499920</v>
          </cell>
          <cell r="S824">
            <v>0</v>
          </cell>
        </row>
        <row r="825">
          <cell r="E825" t="str">
            <v>K209</v>
          </cell>
          <cell r="F825">
            <v>1</v>
          </cell>
          <cell r="G825">
            <v>0.44142999999999999</v>
          </cell>
          <cell r="H825">
            <v>0.29509000000000002</v>
          </cell>
          <cell r="I825">
            <v>1.33E-3</v>
          </cell>
          <cell r="J825">
            <v>6.8500000000000002E-3</v>
          </cell>
          <cell r="K825">
            <v>6.9999999999999994E-5</v>
          </cell>
          <cell r="L825">
            <v>0.14532</v>
          </cell>
          <cell r="M825">
            <v>9.9720000000000003E-2</v>
          </cell>
          <cell r="N825">
            <v>3.3500000000000001E-3</v>
          </cell>
          <cell r="O825">
            <v>0</v>
          </cell>
          <cell r="P825">
            <v>6.79E-3</v>
          </cell>
          <cell r="Q825">
            <v>5.0000000000000002E-5</v>
          </cell>
          <cell r="R825">
            <v>1.0000000000000002</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15</v>
          </cell>
          <cell r="P840">
            <v>394</v>
          </cell>
          <cell r="Q840">
            <v>11</v>
          </cell>
          <cell r="R840">
            <v>140014</v>
          </cell>
          <cell r="S840">
            <v>0</v>
          </cell>
        </row>
        <row r="841">
          <cell r="E841" t="str">
            <v>K405</v>
          </cell>
          <cell r="F841">
            <v>1</v>
          </cell>
          <cell r="G841">
            <v>0.90183999999999997</v>
          </cell>
          <cell r="H841">
            <v>9.1660000000000005E-2</v>
          </cell>
          <cell r="I841">
            <v>1.2199999999999999E-3</v>
          </cell>
          <cell r="J841">
            <v>7.3999999999999999E-4</v>
          </cell>
          <cell r="K841">
            <v>1.1E-4</v>
          </cell>
          <cell r="L841">
            <v>1.1000000000000001E-3</v>
          </cell>
          <cell r="M841">
            <v>2.5999999999999998E-4</v>
          </cell>
          <cell r="N841">
            <v>6.9999999999999994E-5</v>
          </cell>
          <cell r="O841">
            <v>1.1E-4</v>
          </cell>
          <cell r="P841">
            <v>2.81E-3</v>
          </cell>
          <cell r="Q841">
            <v>8.0000000000000007E-5</v>
          </cell>
          <cell r="R841">
            <v>1</v>
          </cell>
          <cell r="S841">
            <v>0</v>
          </cell>
        </row>
        <row r="842">
          <cell r="F842">
            <v>139999</v>
          </cell>
          <cell r="G842">
            <v>126269</v>
          </cell>
          <cell r="H842">
            <v>12833</v>
          </cell>
          <cell r="I842">
            <v>171</v>
          </cell>
          <cell r="J842">
            <v>104</v>
          </cell>
          <cell r="K842">
            <v>16</v>
          </cell>
          <cell r="L842">
            <v>154</v>
          </cell>
          <cell r="M842">
            <v>37</v>
          </cell>
          <cell r="N842">
            <v>10</v>
          </cell>
          <cell r="O842">
            <v>0</v>
          </cell>
          <cell r="P842">
            <v>394</v>
          </cell>
          <cell r="Q842">
            <v>11</v>
          </cell>
          <cell r="R842">
            <v>139999</v>
          </cell>
          <cell r="S842">
            <v>0</v>
          </cell>
        </row>
        <row r="843">
          <cell r="E843" t="str">
            <v>K406</v>
          </cell>
          <cell r="F843">
            <v>1</v>
          </cell>
          <cell r="G843">
            <v>0.90195000000000003</v>
          </cell>
          <cell r="H843">
            <v>9.1660000000000005E-2</v>
          </cell>
          <cell r="I843">
            <v>1.2199999999999999E-3</v>
          </cell>
          <cell r="J843">
            <v>7.3999999999999999E-4</v>
          </cell>
          <cell r="K843">
            <v>1.1E-4</v>
          </cell>
          <cell r="L843">
            <v>1.1000000000000001E-3</v>
          </cell>
          <cell r="M843">
            <v>2.5999999999999998E-4</v>
          </cell>
          <cell r="N843">
            <v>6.9999999999999994E-5</v>
          </cell>
          <cell r="O843">
            <v>0</v>
          </cell>
          <cell r="P843">
            <v>2.81E-3</v>
          </cell>
          <cell r="Q843">
            <v>8.0000000000000007E-5</v>
          </cell>
          <cell r="R843">
            <v>1</v>
          </cell>
          <cell r="S843">
            <v>0</v>
          </cell>
        </row>
        <row r="844">
          <cell r="F844">
            <v>6350638</v>
          </cell>
          <cell r="G844">
            <v>3299927</v>
          </cell>
          <cell r="H844">
            <v>2696699</v>
          </cell>
          <cell r="I844">
            <v>0</v>
          </cell>
          <cell r="J844">
            <v>22657</v>
          </cell>
          <cell r="K844">
            <v>2715</v>
          </cell>
          <cell r="L844">
            <v>125418</v>
          </cell>
          <cell r="M844">
            <v>0</v>
          </cell>
          <cell r="N844">
            <v>10654</v>
          </cell>
          <cell r="O844">
            <v>16048</v>
          </cell>
          <cell r="P844">
            <v>0</v>
          </cell>
          <cell r="Q844">
            <v>176520</v>
          </cell>
          <cell r="R844">
            <v>6350638</v>
          </cell>
          <cell r="S844">
            <v>0</v>
          </cell>
        </row>
        <row r="845">
          <cell r="E845" t="str">
            <v>K407</v>
          </cell>
          <cell r="F845">
            <v>1</v>
          </cell>
          <cell r="G845">
            <v>0.51961000000000002</v>
          </cell>
          <cell r="H845">
            <v>0.42463000000000001</v>
          </cell>
          <cell r="I845">
            <v>0</v>
          </cell>
          <cell r="J845">
            <v>3.5699999999999998E-3</v>
          </cell>
          <cell r="K845">
            <v>4.2999999999999999E-4</v>
          </cell>
          <cell r="L845">
            <v>1.975E-2</v>
          </cell>
          <cell r="M845">
            <v>0</v>
          </cell>
          <cell r="N845">
            <v>1.6800000000000001E-3</v>
          </cell>
          <cell r="O845">
            <v>2.5300000000000001E-3</v>
          </cell>
          <cell r="P845">
            <v>0</v>
          </cell>
          <cell r="Q845">
            <v>2.7799999999999998E-2</v>
          </cell>
          <cell r="R845">
            <v>1</v>
          </cell>
          <cell r="S845">
            <v>0</v>
          </cell>
        </row>
        <row r="846">
          <cell r="F846">
            <v>243058</v>
          </cell>
          <cell r="G846">
            <v>126269</v>
          </cell>
          <cell r="H846">
            <v>102622</v>
          </cell>
          <cell r="I846">
            <v>171</v>
          </cell>
          <cell r="J846">
            <v>832</v>
          </cell>
          <cell r="K846">
            <v>112</v>
          </cell>
          <cell r="L846">
            <v>4804</v>
          </cell>
          <cell r="M846">
            <v>37</v>
          </cell>
          <cell r="N846">
            <v>410</v>
          </cell>
          <cell r="O846">
            <v>620</v>
          </cell>
          <cell r="P846">
            <v>394</v>
          </cell>
          <cell r="Q846">
            <v>6787</v>
          </cell>
          <cell r="R846">
            <v>243058</v>
          </cell>
          <cell r="S846">
            <v>0</v>
          </cell>
        </row>
        <row r="847">
          <cell r="E847" t="str">
            <v>K409</v>
          </cell>
          <cell r="F847">
            <v>1</v>
          </cell>
          <cell r="G847">
            <v>0.51951999999999998</v>
          </cell>
          <cell r="H847">
            <v>0.42220999999999997</v>
          </cell>
          <cell r="I847">
            <v>6.9999999999999999E-4</v>
          </cell>
          <cell r="J847">
            <v>3.4199999999999999E-3</v>
          </cell>
          <cell r="K847">
            <v>4.6000000000000001E-4</v>
          </cell>
          <cell r="L847">
            <v>1.976E-2</v>
          </cell>
          <cell r="M847">
            <v>1.4999999999999999E-4</v>
          </cell>
          <cell r="N847">
            <v>1.6900000000000001E-3</v>
          </cell>
          <cell r="O847">
            <v>2.5500000000000002E-3</v>
          </cell>
          <cell r="P847">
            <v>1.6199999999999999E-3</v>
          </cell>
          <cell r="Q847">
            <v>2.792E-2</v>
          </cell>
          <cell r="R847">
            <v>1</v>
          </cell>
          <cell r="S847">
            <v>0</v>
          </cell>
        </row>
        <row r="848">
          <cell r="F848">
            <v>1498164.3299999998</v>
          </cell>
          <cell r="G848">
            <v>1370864</v>
          </cell>
          <cell r="H848">
            <v>62282.329999999842</v>
          </cell>
          <cell r="I848">
            <v>409</v>
          </cell>
          <cell r="J848">
            <v>432</v>
          </cell>
          <cell r="K848">
            <v>20</v>
          </cell>
          <cell r="L848">
            <v>31779</v>
          </cell>
          <cell r="M848">
            <v>21269</v>
          </cell>
          <cell r="N848">
            <v>642</v>
          </cell>
          <cell r="O848">
            <v>9153</v>
          </cell>
          <cell r="P848">
            <v>1309</v>
          </cell>
          <cell r="Q848">
            <v>5</v>
          </cell>
          <cell r="R848">
            <v>1498164.3299999998</v>
          </cell>
          <cell r="S848">
            <v>0</v>
          </cell>
        </row>
        <row r="849">
          <cell r="E849" t="str">
            <v>K411</v>
          </cell>
          <cell r="F849">
            <v>1</v>
          </cell>
          <cell r="G849">
            <v>0.91503999999999996</v>
          </cell>
          <cell r="H849">
            <v>4.1570000000000003E-2</v>
          </cell>
          <cell r="I849">
            <v>2.7E-4</v>
          </cell>
          <cell r="J849">
            <v>2.9E-4</v>
          </cell>
          <cell r="K849">
            <v>1.0000000000000001E-5</v>
          </cell>
          <cell r="L849">
            <v>2.121E-2</v>
          </cell>
          <cell r="M849">
            <v>1.4200000000000001E-2</v>
          </cell>
          <cell r="N849">
            <v>4.2999999999999999E-4</v>
          </cell>
          <cell r="O849">
            <v>6.11E-3</v>
          </cell>
          <cell r="P849">
            <v>8.7000000000000001E-4</v>
          </cell>
          <cell r="Q849">
            <v>0</v>
          </cell>
          <cell r="R849">
            <v>0.99999999999999989</v>
          </cell>
          <cell r="S849">
            <v>0</v>
          </cell>
        </row>
        <row r="850">
          <cell r="F850">
            <v>4178319049</v>
          </cell>
          <cell r="G850">
            <v>1508499412</v>
          </cell>
          <cell r="H850">
            <v>1170020285</v>
          </cell>
          <cell r="I850">
            <v>6457090</v>
          </cell>
          <cell r="J850">
            <v>19810437</v>
          </cell>
          <cell r="K850">
            <v>277908</v>
          </cell>
          <cell r="L850">
            <v>703656372</v>
          </cell>
          <cell r="M850">
            <v>514497482</v>
          </cell>
          <cell r="N850">
            <v>16235892</v>
          </cell>
          <cell r="O850">
            <v>218940404</v>
          </cell>
          <cell r="P850">
            <v>19741342</v>
          </cell>
          <cell r="Q850">
            <v>182425</v>
          </cell>
          <cell r="R850">
            <v>4178319049</v>
          </cell>
          <cell r="S850">
            <v>0</v>
          </cell>
        </row>
        <row r="851">
          <cell r="E851" t="str">
            <v>K302</v>
          </cell>
          <cell r="F851">
            <v>1</v>
          </cell>
          <cell r="G851">
            <v>0.36102000000000001</v>
          </cell>
          <cell r="H851">
            <v>0.28001999999999999</v>
          </cell>
          <cell r="I851">
            <v>1.5499999999999999E-3</v>
          </cell>
          <cell r="J851">
            <v>4.7400000000000003E-3</v>
          </cell>
          <cell r="K851">
            <v>6.9999999999999994E-5</v>
          </cell>
          <cell r="L851">
            <v>0.16841</v>
          </cell>
          <cell r="M851">
            <v>0.12314</v>
          </cell>
          <cell r="N851">
            <v>3.8899999999999998E-3</v>
          </cell>
          <cell r="O851">
            <v>5.2400000000000002E-2</v>
          </cell>
          <cell r="P851">
            <v>4.7200000000000002E-3</v>
          </cell>
          <cell r="Q851">
            <v>4.0000000000000003E-5</v>
          </cell>
          <cell r="R851">
            <v>1</v>
          </cell>
          <cell r="S851">
            <v>0</v>
          </cell>
        </row>
        <row r="853">
          <cell r="E853" t="str">
            <v>R600</v>
          </cell>
          <cell r="F853">
            <v>33790186</v>
          </cell>
          <cell r="G853">
            <v>15893192</v>
          </cell>
          <cell r="H853">
            <v>9445580</v>
          </cell>
          <cell r="I853">
            <v>40647</v>
          </cell>
          <cell r="J853">
            <v>285737</v>
          </cell>
          <cell r="K853">
            <v>2314</v>
          </cell>
          <cell r="L853">
            <v>4517277</v>
          </cell>
          <cell r="M853">
            <v>3073995</v>
          </cell>
          <cell r="N853">
            <v>104007</v>
          </cell>
          <cell r="O853">
            <v>215819</v>
          </cell>
          <cell r="P853">
            <v>209893</v>
          </cell>
          <cell r="Q853">
            <v>1725</v>
          </cell>
          <cell r="R853">
            <v>33790186</v>
          </cell>
          <cell r="S853">
            <v>0</v>
          </cell>
        </row>
        <row r="854">
          <cell r="E854" t="str">
            <v>R602</v>
          </cell>
          <cell r="F854">
            <v>56252602</v>
          </cell>
          <cell r="G854">
            <v>28154988</v>
          </cell>
          <cell r="H854">
            <v>14811310</v>
          </cell>
          <cell r="I854">
            <v>59628</v>
          </cell>
          <cell r="J854">
            <v>585590</v>
          </cell>
          <cell r="K854">
            <v>3938</v>
          </cell>
          <cell r="L854">
            <v>6806002</v>
          </cell>
          <cell r="M854">
            <v>4576712</v>
          </cell>
          <cell r="N854">
            <v>156382</v>
          </cell>
          <cell r="O854">
            <v>781349</v>
          </cell>
          <cell r="P854">
            <v>313890</v>
          </cell>
          <cell r="Q854">
            <v>2813</v>
          </cell>
          <cell r="R854">
            <v>56252602</v>
          </cell>
          <cell r="S854">
            <v>0</v>
          </cell>
        </row>
        <row r="856">
          <cell r="R856" t="str">
            <v>FR-16(7)(v)-11</v>
          </cell>
        </row>
        <row r="857">
          <cell r="R857" t="str">
            <v>WITNESS RESPONSIBLE:</v>
          </cell>
        </row>
        <row r="858">
          <cell r="R858" t="str">
            <v>JAMES E. ZIOLKOWSKI</v>
          </cell>
        </row>
        <row r="859">
          <cell r="R859" t="str">
            <v>PAGE 17 OF 18</v>
          </cell>
        </row>
        <row r="862">
          <cell r="F862" t="str">
            <v>TOTAL</v>
          </cell>
          <cell r="H862" t="str">
            <v>DS</v>
          </cell>
          <cell r="I862" t="str">
            <v>GSFL</v>
          </cell>
          <cell r="J862" t="str">
            <v>EH</v>
          </cell>
          <cell r="K862" t="str">
            <v>SP</v>
          </cell>
          <cell r="L862" t="str">
            <v>DT SEC</v>
          </cell>
          <cell r="M862" t="str">
            <v>DT PRI</v>
          </cell>
          <cell r="N862" t="str">
            <v>DP</v>
          </cell>
          <cell r="O862" t="str">
            <v>TT</v>
          </cell>
          <cell r="Q862" t="str">
            <v>OTHER</v>
          </cell>
        </row>
        <row r="863">
          <cell r="F863" t="str">
            <v>DISTRIBUTION</v>
          </cell>
          <cell r="G863" t="str">
            <v>RS</v>
          </cell>
          <cell r="H863" t="str">
            <v>SECONDARY</v>
          </cell>
          <cell r="I863" t="str">
            <v>SECONDARY</v>
          </cell>
          <cell r="J863" t="str">
            <v>SECONDARY</v>
          </cell>
          <cell r="K863" t="str">
            <v>SECONDARY</v>
          </cell>
          <cell r="L863" t="str">
            <v>SECONDARY</v>
          </cell>
          <cell r="M863" t="str">
            <v>PRIMARY</v>
          </cell>
          <cell r="N863" t="str">
            <v>PRIMARY</v>
          </cell>
          <cell r="O863" t="str">
            <v>TRANSMISSION</v>
          </cell>
          <cell r="P863" t="str">
            <v>LT</v>
          </cell>
          <cell r="Q863" t="str">
            <v>WATER</v>
          </cell>
          <cell r="R863" t="str">
            <v>TOTAL</v>
          </cell>
          <cell r="S863" t="str">
            <v>ALL</v>
          </cell>
        </row>
        <row r="864">
          <cell r="E864" t="str">
            <v>ALLO</v>
          </cell>
          <cell r="F864" t="str">
            <v>DEMAND</v>
          </cell>
          <cell r="G864" t="str">
            <v>RESIDENTIAL</v>
          </cell>
          <cell r="H864" t="str">
            <v>DISTRIBUTION</v>
          </cell>
          <cell r="I864" t="str">
            <v>DISTRIBUTION</v>
          </cell>
          <cell r="J864" t="str">
            <v>DISTRIBUTION</v>
          </cell>
          <cell r="K864" t="str">
            <v>DISTRIBUTION</v>
          </cell>
          <cell r="L864" t="str">
            <v>DISTRIBUTION</v>
          </cell>
          <cell r="M864" t="str">
            <v>DISTRIBUTION</v>
          </cell>
          <cell r="N864" t="str">
            <v>DISTRIBUTION</v>
          </cell>
          <cell r="O864" t="str">
            <v>TIME OF DAY</v>
          </cell>
          <cell r="P864" t="str">
            <v>LIGHTING</v>
          </cell>
          <cell r="Q864" t="str">
            <v>PUMPING</v>
          </cell>
          <cell r="R864" t="str">
            <v>AT ISSUE</v>
          </cell>
          <cell r="S864" t="str">
            <v>OTHER</v>
          </cell>
        </row>
        <row r="865">
          <cell r="E865">
            <v>1</v>
          </cell>
          <cell r="G865">
            <v>3</v>
          </cell>
          <cell r="H865">
            <v>4</v>
          </cell>
          <cell r="I865">
            <v>5</v>
          </cell>
          <cell r="J865">
            <v>6</v>
          </cell>
          <cell r="K865">
            <v>7</v>
          </cell>
          <cell r="L865">
            <v>8</v>
          </cell>
          <cell r="M865">
            <v>9</v>
          </cell>
          <cell r="N865">
            <v>10</v>
          </cell>
          <cell r="O865">
            <v>11</v>
          </cell>
          <cell r="P865">
            <v>12</v>
          </cell>
          <cell r="Q865">
            <v>13</v>
          </cell>
          <cell r="S865" t="str">
            <v xml:space="preserve"> </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K901</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69">
          <cell r="F869">
            <v>304312778</v>
          </cell>
          <cell r="G869">
            <v>120391018</v>
          </cell>
          <cell r="H869">
            <v>89967454</v>
          </cell>
          <cell r="I869">
            <v>589997</v>
          </cell>
          <cell r="J869">
            <v>623628</v>
          </cell>
          <cell r="K869">
            <v>28730</v>
          </cell>
          <cell r="L869">
            <v>45903624</v>
          </cell>
          <cell r="M869">
            <v>30722085</v>
          </cell>
          <cell r="N869">
            <v>926746</v>
          </cell>
          <cell r="O869">
            <v>13220511</v>
          </cell>
          <cell r="P869">
            <v>1889364</v>
          </cell>
          <cell r="Q869">
            <v>7414</v>
          </cell>
          <cell r="R869">
            <v>304270571</v>
          </cell>
          <cell r="S869">
            <v>42207</v>
          </cell>
        </row>
        <row r="870">
          <cell r="E870" t="str">
            <v>K902</v>
          </cell>
          <cell r="F870">
            <v>1</v>
          </cell>
          <cell r="G870">
            <v>0.39562000000000003</v>
          </cell>
          <cell r="H870">
            <v>0.295641394</v>
          </cell>
          <cell r="I870">
            <v>1.9387849999999999E-3</v>
          </cell>
          <cell r="J870">
            <v>2.0492990000000001E-3</v>
          </cell>
          <cell r="K870">
            <v>9.4408999999999997E-5</v>
          </cell>
          <cell r="L870">
            <v>0.15084356400000001</v>
          </cell>
          <cell r="M870">
            <v>0.100955619</v>
          </cell>
          <cell r="N870">
            <v>3.0453730000000001E-3</v>
          </cell>
          <cell r="O870">
            <v>4.3443824999999998E-2</v>
          </cell>
          <cell r="P870">
            <v>6.2086249999999997E-3</v>
          </cell>
          <cell r="Q870">
            <v>2.4363E-5</v>
          </cell>
          <cell r="R870">
            <v>0.99986525599999998</v>
          </cell>
          <cell r="S870">
            <v>1.3474400000001996E-4</v>
          </cell>
        </row>
        <row r="874">
          <cell r="E874" t="str">
            <v>P129</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row>
        <row r="875">
          <cell r="E875" t="str">
            <v>T129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PT29</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row>
        <row r="877">
          <cell r="E877" t="str">
            <v>D149</v>
          </cell>
          <cell r="F877">
            <v>1</v>
          </cell>
          <cell r="G877">
            <v>0.44142999999999999</v>
          </cell>
          <cell r="H877">
            <v>0.29509000000000002</v>
          </cell>
          <cell r="I877">
            <v>1.33E-3</v>
          </cell>
          <cell r="J877">
            <v>6.8500000000000002E-3</v>
          </cell>
          <cell r="K877">
            <v>6.9999999999999994E-5</v>
          </cell>
          <cell r="L877">
            <v>0.14532</v>
          </cell>
          <cell r="M877">
            <v>9.9720000000000003E-2</v>
          </cell>
          <cell r="N877">
            <v>3.3500000000000001E-3</v>
          </cell>
          <cell r="O877">
            <v>0</v>
          </cell>
          <cell r="P877">
            <v>6.79E-3</v>
          </cell>
          <cell r="Q877">
            <v>5.0000000000000002E-5</v>
          </cell>
          <cell r="R877">
            <v>1.0000000000000002</v>
          </cell>
          <cell r="S877">
            <v>0</v>
          </cell>
        </row>
        <row r="878">
          <cell r="E878" t="str">
            <v>TD29</v>
          </cell>
          <cell r="F878">
            <v>1</v>
          </cell>
          <cell r="G878">
            <v>0.44142999999999999</v>
          </cell>
          <cell r="H878">
            <v>0.29509000000000002</v>
          </cell>
          <cell r="I878">
            <v>1.33E-3</v>
          </cell>
          <cell r="J878">
            <v>6.8500000000000002E-3</v>
          </cell>
          <cell r="K878">
            <v>6.9999999999999994E-5</v>
          </cell>
          <cell r="L878">
            <v>0.14532</v>
          </cell>
          <cell r="M878">
            <v>9.9720000000000003E-2</v>
          </cell>
          <cell r="N878">
            <v>3.3500000000000001E-3</v>
          </cell>
          <cell r="O878">
            <v>0</v>
          </cell>
          <cell r="P878">
            <v>6.79E-3</v>
          </cell>
          <cell r="Q878">
            <v>5.0000000000000002E-5</v>
          </cell>
          <cell r="R878">
            <v>1.0000000000000002</v>
          </cell>
          <cell r="S878">
            <v>0</v>
          </cell>
        </row>
        <row r="879">
          <cell r="E879" t="str">
            <v>PD29</v>
          </cell>
          <cell r="F879">
            <v>1</v>
          </cell>
          <cell r="G879">
            <v>1</v>
          </cell>
          <cell r="H879">
            <v>0</v>
          </cell>
          <cell r="I879">
            <v>0</v>
          </cell>
          <cell r="J879">
            <v>0</v>
          </cell>
          <cell r="K879">
            <v>0</v>
          </cell>
          <cell r="L879">
            <v>0</v>
          </cell>
          <cell r="M879">
            <v>0</v>
          </cell>
          <cell r="N879">
            <v>0</v>
          </cell>
          <cell r="O879">
            <v>0</v>
          </cell>
          <cell r="P879">
            <v>0</v>
          </cell>
          <cell r="Q879">
            <v>0</v>
          </cell>
          <cell r="R879">
            <v>1</v>
          </cell>
          <cell r="S879">
            <v>0</v>
          </cell>
        </row>
        <row r="880">
          <cell r="E880" t="str">
            <v>G129</v>
          </cell>
          <cell r="F880">
            <v>1</v>
          </cell>
          <cell r="G880">
            <v>1</v>
          </cell>
          <cell r="H880">
            <v>0</v>
          </cell>
          <cell r="I880">
            <v>0</v>
          </cell>
          <cell r="J880">
            <v>0</v>
          </cell>
          <cell r="K880">
            <v>0</v>
          </cell>
          <cell r="L880">
            <v>0</v>
          </cell>
          <cell r="M880">
            <v>0</v>
          </cell>
          <cell r="N880">
            <v>0</v>
          </cell>
          <cell r="O880">
            <v>0</v>
          </cell>
          <cell r="P880">
            <v>0</v>
          </cell>
          <cell r="Q880">
            <v>0</v>
          </cell>
          <cell r="R880">
            <v>1</v>
          </cell>
          <cell r="S880">
            <v>0</v>
          </cell>
        </row>
        <row r="881">
          <cell r="E881" t="str">
            <v>C129</v>
          </cell>
          <cell r="F881">
            <v>1</v>
          </cell>
          <cell r="G881">
            <v>0.44142999999999999</v>
          </cell>
          <cell r="H881">
            <v>0.29509000000000002</v>
          </cell>
          <cell r="I881">
            <v>1.33E-3</v>
          </cell>
          <cell r="J881">
            <v>6.8500000000000002E-3</v>
          </cell>
          <cell r="K881">
            <v>6.9999999999999994E-5</v>
          </cell>
          <cell r="L881">
            <v>0.14532</v>
          </cell>
          <cell r="M881">
            <v>9.9720000000000003E-2</v>
          </cell>
          <cell r="N881">
            <v>3.3500000000000001E-3</v>
          </cell>
          <cell r="O881">
            <v>0</v>
          </cell>
          <cell r="P881">
            <v>6.79E-3</v>
          </cell>
          <cell r="Q881">
            <v>5.0000000000000002E-5</v>
          </cell>
          <cell r="R881">
            <v>1.0000000000000002</v>
          </cell>
          <cell r="S881">
            <v>0</v>
          </cell>
        </row>
        <row r="882">
          <cell r="E882" t="str">
            <v>GP19</v>
          </cell>
          <cell r="F882">
            <v>1</v>
          </cell>
          <cell r="G882">
            <v>0.40644999999999998</v>
          </cell>
          <cell r="H882">
            <v>0.31357000000000002</v>
          </cell>
          <cell r="I882">
            <v>1.41E-3</v>
          </cell>
          <cell r="J882">
            <v>7.28E-3</v>
          </cell>
          <cell r="K882">
            <v>6.9999999999999994E-5</v>
          </cell>
          <cell r="L882">
            <v>0.15442</v>
          </cell>
          <cell r="M882">
            <v>0.10596999999999999</v>
          </cell>
          <cell r="N882">
            <v>3.5599999999999998E-3</v>
          </cell>
          <cell r="O882">
            <v>0</v>
          </cell>
          <cell r="P882">
            <v>7.2199999999999999E-3</v>
          </cell>
          <cell r="Q882">
            <v>5.0000000000000002E-5</v>
          </cell>
          <cell r="R882">
            <v>1</v>
          </cell>
          <cell r="S882">
            <v>0</v>
          </cell>
        </row>
        <row r="883">
          <cell r="E883" t="str">
            <v>DR19</v>
          </cell>
          <cell r="F883">
            <v>1</v>
          </cell>
          <cell r="G883">
            <v>0.40360999999999991</v>
          </cell>
          <cell r="H883">
            <v>0.31508000000000003</v>
          </cell>
          <cell r="I883">
            <v>1.42E-3</v>
          </cell>
          <cell r="J883">
            <v>7.3099999999999997E-3</v>
          </cell>
          <cell r="K883">
            <v>6.9999999999999994E-5</v>
          </cell>
          <cell r="L883">
            <v>0.15515999999999999</v>
          </cell>
          <cell r="M883">
            <v>0.10648000000000001</v>
          </cell>
          <cell r="N883">
            <v>3.5799999999999998E-3</v>
          </cell>
          <cell r="O883">
            <v>-1.0000000000000001E-5</v>
          </cell>
          <cell r="P883">
            <v>7.2500000000000004E-3</v>
          </cell>
          <cell r="Q883">
            <v>5.0000000000000002E-5</v>
          </cell>
          <cell r="R883">
            <v>1</v>
          </cell>
          <cell r="S883">
            <v>0</v>
          </cell>
        </row>
        <row r="886">
          <cell r="E886" t="str">
            <v>P229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T229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PL49</v>
          </cell>
          <cell r="F888">
            <v>1</v>
          </cell>
          <cell r="G888">
            <v>0.44142999999999999</v>
          </cell>
          <cell r="H888">
            <v>0.29509000000000002</v>
          </cell>
          <cell r="I888">
            <v>1.33E-3</v>
          </cell>
          <cell r="J888">
            <v>6.8500000000000002E-3</v>
          </cell>
          <cell r="K888">
            <v>6.9999999999999994E-5</v>
          </cell>
          <cell r="L888">
            <v>0.14532</v>
          </cell>
          <cell r="M888">
            <v>9.9720000000000003E-2</v>
          </cell>
          <cell r="N888">
            <v>3.3500000000000001E-3</v>
          </cell>
          <cell r="O888">
            <v>0</v>
          </cell>
          <cell r="P888">
            <v>6.79E-3</v>
          </cell>
          <cell r="Q888">
            <v>5.0000000000000002E-5</v>
          </cell>
          <cell r="R888">
            <v>1.0000000000000002</v>
          </cell>
          <cell r="S888">
            <v>0</v>
          </cell>
        </row>
        <row r="889">
          <cell r="E889" t="str">
            <v>D249</v>
          </cell>
          <cell r="F889">
            <v>1</v>
          </cell>
          <cell r="G889">
            <v>0.44142999999999999</v>
          </cell>
          <cell r="H889">
            <v>0.29509000000000002</v>
          </cell>
          <cell r="I889">
            <v>1.33E-3</v>
          </cell>
          <cell r="J889">
            <v>6.8500000000000002E-3</v>
          </cell>
          <cell r="K889">
            <v>6.9999999999999994E-5</v>
          </cell>
          <cell r="L889">
            <v>0.14532</v>
          </cell>
          <cell r="M889">
            <v>9.9720000000000003E-2</v>
          </cell>
          <cell r="N889">
            <v>3.3500000000000001E-3</v>
          </cell>
          <cell r="O889">
            <v>0</v>
          </cell>
          <cell r="P889">
            <v>6.79E-3</v>
          </cell>
          <cell r="Q889">
            <v>5.0000000000000002E-5</v>
          </cell>
          <cell r="R889">
            <v>1.0000000000000002</v>
          </cell>
          <cell r="S889">
            <v>0</v>
          </cell>
        </row>
        <row r="890">
          <cell r="E890" t="str">
            <v>NT29</v>
          </cell>
          <cell r="F890">
            <v>1</v>
          </cell>
          <cell r="G890">
            <v>0.45796000000000003</v>
          </cell>
          <cell r="H890">
            <v>0.28634999999999999</v>
          </cell>
          <cell r="I890">
            <v>1.2899999999999999E-3</v>
          </cell>
          <cell r="J890">
            <v>6.6499999999999997E-3</v>
          </cell>
          <cell r="K890">
            <v>6.9999999999999994E-5</v>
          </cell>
          <cell r="L890">
            <v>0.14102000000000001</v>
          </cell>
          <cell r="M890">
            <v>9.6769999999999995E-2</v>
          </cell>
          <cell r="N890">
            <v>3.2499999999999999E-3</v>
          </cell>
          <cell r="O890">
            <v>0</v>
          </cell>
          <cell r="P890">
            <v>6.5900000000000004E-3</v>
          </cell>
          <cell r="Q890">
            <v>5.0000000000000002E-5</v>
          </cell>
          <cell r="R890">
            <v>1.0000000000000002</v>
          </cell>
          <cell r="S890">
            <v>0</v>
          </cell>
        </row>
        <row r="891">
          <cell r="E891" t="str">
            <v>G229</v>
          </cell>
          <cell r="F891">
            <v>1</v>
          </cell>
          <cell r="G891">
            <v>0.98316000000000003</v>
          </cell>
          <cell r="H891">
            <v>8.5100000000000002E-3</v>
          </cell>
          <cell r="I891">
            <v>4.0000000000000003E-5</v>
          </cell>
          <cell r="J891">
            <v>1.3999999999999999E-4</v>
          </cell>
          <cell r="K891">
            <v>0</v>
          </cell>
          <cell r="L891">
            <v>4.0299999999999997E-3</v>
          </cell>
          <cell r="M891">
            <v>2.7599999999999999E-3</v>
          </cell>
          <cell r="N891">
            <v>1E-4</v>
          </cell>
          <cell r="O891">
            <v>1.2199999999999999E-3</v>
          </cell>
          <cell r="P891">
            <v>4.0000000000000003E-5</v>
          </cell>
          <cell r="Q891">
            <v>0</v>
          </cell>
          <cell r="R891">
            <v>1</v>
          </cell>
          <cell r="S891">
            <v>0</v>
          </cell>
        </row>
        <row r="892">
          <cell r="E892" t="str">
            <v>C229</v>
          </cell>
          <cell r="F892">
            <v>1</v>
          </cell>
          <cell r="G892">
            <v>0.98312999999999995</v>
          </cell>
          <cell r="H892">
            <v>8.5199999999999998E-3</v>
          </cell>
          <cell r="I892">
            <v>5.0000000000000002E-5</v>
          </cell>
          <cell r="J892">
            <v>1.4999999999999999E-4</v>
          </cell>
          <cell r="K892">
            <v>0</v>
          </cell>
          <cell r="L892">
            <v>4.0400000000000002E-3</v>
          </cell>
          <cell r="M892">
            <v>2.7499999999999998E-3</v>
          </cell>
          <cell r="N892">
            <v>1E-4</v>
          </cell>
          <cell r="O892">
            <v>1.2099999999999999E-3</v>
          </cell>
          <cell r="P892">
            <v>5.0000000000000002E-5</v>
          </cell>
          <cell r="Q892">
            <v>0</v>
          </cell>
          <cell r="R892">
            <v>1</v>
          </cell>
          <cell r="S892">
            <v>0</v>
          </cell>
        </row>
        <row r="893">
          <cell r="E893" t="str">
            <v>NP29</v>
          </cell>
          <cell r="F893">
            <v>1</v>
          </cell>
          <cell r="G893">
            <v>0.44272999999999996</v>
          </cell>
          <cell r="H893">
            <v>0.29441000000000001</v>
          </cell>
          <cell r="I893">
            <v>1.33E-3</v>
          </cell>
          <cell r="J893">
            <v>6.8300000000000001E-3</v>
          </cell>
          <cell r="K893">
            <v>6.9999999999999994E-5</v>
          </cell>
          <cell r="L893">
            <v>0.14498</v>
          </cell>
          <cell r="M893">
            <v>9.9489999999999995E-2</v>
          </cell>
          <cell r="N893">
            <v>3.3400000000000001E-3</v>
          </cell>
          <cell r="O893">
            <v>0</v>
          </cell>
          <cell r="P893">
            <v>6.77E-3</v>
          </cell>
          <cell r="Q893">
            <v>5.0000000000000002E-5</v>
          </cell>
          <cell r="R893">
            <v>1</v>
          </cell>
          <cell r="S893">
            <v>0</v>
          </cell>
        </row>
        <row r="896">
          <cell r="E896" t="str">
            <v>W669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W689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W719</v>
          </cell>
          <cell r="F898">
            <v>1</v>
          </cell>
          <cell r="G898">
            <v>1</v>
          </cell>
          <cell r="H898">
            <v>0</v>
          </cell>
          <cell r="I898">
            <v>0</v>
          </cell>
          <cell r="J898">
            <v>0</v>
          </cell>
          <cell r="K898">
            <v>0</v>
          </cell>
          <cell r="L898">
            <v>0</v>
          </cell>
          <cell r="M898">
            <v>0</v>
          </cell>
          <cell r="N898">
            <v>0</v>
          </cell>
          <cell r="O898">
            <v>0</v>
          </cell>
          <cell r="P898">
            <v>0</v>
          </cell>
          <cell r="Q898">
            <v>0</v>
          </cell>
          <cell r="R898">
            <v>1</v>
          </cell>
          <cell r="S898">
            <v>0</v>
          </cell>
        </row>
        <row r="899">
          <cell r="E899" t="str">
            <v>W749</v>
          </cell>
          <cell r="F899">
            <v>1</v>
          </cell>
          <cell r="G899">
            <v>1</v>
          </cell>
          <cell r="H899">
            <v>0</v>
          </cell>
          <cell r="I899">
            <v>0</v>
          </cell>
          <cell r="J899">
            <v>0</v>
          </cell>
          <cell r="K899">
            <v>0</v>
          </cell>
          <cell r="L899">
            <v>0</v>
          </cell>
          <cell r="M899">
            <v>0</v>
          </cell>
          <cell r="N899">
            <v>0</v>
          </cell>
          <cell r="O899">
            <v>0</v>
          </cell>
          <cell r="P899">
            <v>0</v>
          </cell>
          <cell r="Q899">
            <v>0</v>
          </cell>
          <cell r="R899">
            <v>1</v>
          </cell>
          <cell r="S899">
            <v>0</v>
          </cell>
        </row>
        <row r="900">
          <cell r="E900" t="str">
            <v>WC79</v>
          </cell>
          <cell r="F900">
            <v>1</v>
          </cell>
          <cell r="G900">
            <v>1</v>
          </cell>
          <cell r="H900">
            <v>0</v>
          </cell>
          <cell r="I900">
            <v>0</v>
          </cell>
          <cell r="J900">
            <v>0</v>
          </cell>
          <cell r="K900">
            <v>0</v>
          </cell>
          <cell r="L900">
            <v>0</v>
          </cell>
          <cell r="M900">
            <v>0</v>
          </cell>
          <cell r="N900">
            <v>0</v>
          </cell>
          <cell r="O900">
            <v>0</v>
          </cell>
          <cell r="P900">
            <v>0</v>
          </cell>
          <cell r="Q900">
            <v>0</v>
          </cell>
          <cell r="R900">
            <v>1</v>
          </cell>
          <cell r="S900">
            <v>0</v>
          </cell>
        </row>
        <row r="903">
          <cell r="E903" t="str">
            <v>RB29</v>
          </cell>
          <cell r="F903">
            <v>1</v>
          </cell>
          <cell r="G903">
            <v>0.44215000000000004</v>
          </cell>
          <cell r="H903">
            <v>0.29471999999999998</v>
          </cell>
          <cell r="I903">
            <v>1.33E-3</v>
          </cell>
          <cell r="J903">
            <v>6.7400000000000003E-3</v>
          </cell>
          <cell r="K903">
            <v>6.9999999999999994E-5</v>
          </cell>
          <cell r="L903">
            <v>0.14534</v>
          </cell>
          <cell r="M903">
            <v>9.9769999999999998E-2</v>
          </cell>
          <cell r="N903">
            <v>3.3500000000000001E-3</v>
          </cell>
          <cell r="O903">
            <v>-3.1E-4</v>
          </cell>
          <cell r="P903">
            <v>6.79E-3</v>
          </cell>
          <cell r="Q903">
            <v>5.0000000000000002E-5</v>
          </cell>
          <cell r="R903">
            <v>1</v>
          </cell>
          <cell r="S903">
            <v>0</v>
          </cell>
        </row>
        <row r="904">
          <cell r="E904" t="str">
            <v>RB99</v>
          </cell>
          <cell r="F904">
            <v>1</v>
          </cell>
          <cell r="G904">
            <v>0.44215000000000004</v>
          </cell>
          <cell r="H904">
            <v>0.29471999999999998</v>
          </cell>
          <cell r="I904">
            <v>1.33E-3</v>
          </cell>
          <cell r="J904">
            <v>6.7400000000000003E-3</v>
          </cell>
          <cell r="K904">
            <v>6.9999999999999994E-5</v>
          </cell>
          <cell r="L904">
            <v>0.14534</v>
          </cell>
          <cell r="M904">
            <v>9.9769999999999998E-2</v>
          </cell>
          <cell r="N904">
            <v>3.3500000000000001E-3</v>
          </cell>
          <cell r="O904">
            <v>-3.1E-4</v>
          </cell>
          <cell r="P904">
            <v>6.79E-3</v>
          </cell>
          <cell r="Q904">
            <v>5.0000000000000002E-5</v>
          </cell>
          <cell r="R904">
            <v>1</v>
          </cell>
          <cell r="S904">
            <v>0</v>
          </cell>
        </row>
        <row r="905">
          <cell r="E905" t="str">
            <v>CW29</v>
          </cell>
          <cell r="F905">
            <v>1</v>
          </cell>
          <cell r="G905">
            <v>1</v>
          </cell>
          <cell r="H905">
            <v>0</v>
          </cell>
          <cell r="I905">
            <v>0</v>
          </cell>
          <cell r="J905">
            <v>0</v>
          </cell>
          <cell r="K905">
            <v>0</v>
          </cell>
          <cell r="L905">
            <v>0</v>
          </cell>
          <cell r="M905">
            <v>0</v>
          </cell>
          <cell r="N905">
            <v>0</v>
          </cell>
          <cell r="O905">
            <v>0</v>
          </cell>
          <cell r="P905">
            <v>0</v>
          </cell>
          <cell r="Q905">
            <v>0</v>
          </cell>
          <cell r="R905">
            <v>1</v>
          </cell>
          <cell r="S905">
            <v>0</v>
          </cell>
        </row>
        <row r="907">
          <cell r="R907" t="str">
            <v>FR-16(7)(v)-11</v>
          </cell>
        </row>
        <row r="908">
          <cell r="R908" t="str">
            <v>WITNESS RESPONSIBLE:</v>
          </cell>
        </row>
        <row r="909">
          <cell r="R909" t="str">
            <v>JAMES E. ZIOLKOWSKI</v>
          </cell>
        </row>
        <row r="910">
          <cell r="R910" t="str">
            <v>PAGE 18 OF 18</v>
          </cell>
        </row>
        <row r="913">
          <cell r="F913" t="str">
            <v>TOTAL</v>
          </cell>
          <cell r="H913" t="str">
            <v>DS</v>
          </cell>
          <cell r="I913" t="str">
            <v>GSFL</v>
          </cell>
          <cell r="J913" t="str">
            <v>EH</v>
          </cell>
          <cell r="K913" t="str">
            <v>SP</v>
          </cell>
          <cell r="L913" t="str">
            <v>DT SEC</v>
          </cell>
          <cell r="M913" t="str">
            <v>DT PRI</v>
          </cell>
          <cell r="N913" t="str">
            <v>DP</v>
          </cell>
          <cell r="O913" t="str">
            <v>TT</v>
          </cell>
          <cell r="Q913" t="str">
            <v>OTHER</v>
          </cell>
        </row>
        <row r="914">
          <cell r="F914" t="str">
            <v>DISTRIBUTION</v>
          </cell>
          <cell r="G914" t="str">
            <v>RS</v>
          </cell>
          <cell r="H914" t="str">
            <v>SECONDARY</v>
          </cell>
          <cell r="I914" t="str">
            <v>SECONDARY</v>
          </cell>
          <cell r="J914" t="str">
            <v>SECONDARY</v>
          </cell>
          <cell r="K914" t="str">
            <v>SECONDARY</v>
          </cell>
          <cell r="L914" t="str">
            <v>SECONDARY</v>
          </cell>
          <cell r="M914" t="str">
            <v>PRIMARY</v>
          </cell>
          <cell r="N914" t="str">
            <v>PRIMARY</v>
          </cell>
          <cell r="O914" t="str">
            <v>TRANSMISSION</v>
          </cell>
          <cell r="P914" t="str">
            <v>LT</v>
          </cell>
          <cell r="Q914" t="str">
            <v>WATER</v>
          </cell>
          <cell r="R914" t="str">
            <v>TOTAL</v>
          </cell>
          <cell r="S914" t="str">
            <v>ALL</v>
          </cell>
        </row>
        <row r="915">
          <cell r="E915" t="str">
            <v>ALLO</v>
          </cell>
          <cell r="F915" t="str">
            <v>DEMAND</v>
          </cell>
          <cell r="G915" t="str">
            <v>RESIDENTIAL</v>
          </cell>
          <cell r="H915" t="str">
            <v>DISTRIBUTION</v>
          </cell>
          <cell r="I915" t="str">
            <v>DISTRIBUTION</v>
          </cell>
          <cell r="J915" t="str">
            <v>DISTRIBUTION</v>
          </cell>
          <cell r="K915" t="str">
            <v>DISTRIBUTION</v>
          </cell>
          <cell r="L915" t="str">
            <v>DISTRIBUTION</v>
          </cell>
          <cell r="M915" t="str">
            <v>DISTRIBUTION</v>
          </cell>
          <cell r="N915" t="str">
            <v>DISTRIBUTION</v>
          </cell>
          <cell r="O915" t="str">
            <v>TIME OF DAY</v>
          </cell>
          <cell r="P915" t="str">
            <v>LIGHTING</v>
          </cell>
          <cell r="Q915" t="str">
            <v>PUMPING</v>
          </cell>
          <cell r="R915" t="str">
            <v>AT ISSUE</v>
          </cell>
          <cell r="S915" t="str">
            <v>OTHER</v>
          </cell>
        </row>
        <row r="916">
          <cell r="E916">
            <v>1</v>
          </cell>
          <cell r="G916">
            <v>3</v>
          </cell>
          <cell r="H916">
            <v>4</v>
          </cell>
          <cell r="I916">
            <v>5</v>
          </cell>
          <cell r="J916">
            <v>6</v>
          </cell>
          <cell r="K916">
            <v>7</v>
          </cell>
          <cell r="L916">
            <v>8</v>
          </cell>
          <cell r="M916">
            <v>9</v>
          </cell>
          <cell r="N916">
            <v>10</v>
          </cell>
          <cell r="O916">
            <v>11</v>
          </cell>
          <cell r="P916">
            <v>12</v>
          </cell>
          <cell r="Q916">
            <v>13</v>
          </cell>
          <cell r="S916" t="str">
            <v xml:space="preserve"> </v>
          </cell>
        </row>
        <row r="918">
          <cell r="E918" t="str">
            <v>P349</v>
          </cell>
          <cell r="F918">
            <v>1</v>
          </cell>
          <cell r="G918">
            <v>0</v>
          </cell>
          <cell r="H918">
            <v>0</v>
          </cell>
          <cell r="I918">
            <v>0</v>
          </cell>
          <cell r="J918">
            <v>0</v>
          </cell>
          <cell r="K918">
            <v>0</v>
          </cell>
          <cell r="L918">
            <v>0</v>
          </cell>
          <cell r="M918">
            <v>0</v>
          </cell>
          <cell r="N918">
            <v>0</v>
          </cell>
          <cell r="O918">
            <v>0</v>
          </cell>
          <cell r="P918">
            <v>0</v>
          </cell>
          <cell r="Q918">
            <v>0</v>
          </cell>
          <cell r="R918">
            <v>0</v>
          </cell>
          <cell r="S918">
            <v>1</v>
          </cell>
        </row>
        <row r="919">
          <cell r="E919" t="str">
            <v>E349</v>
          </cell>
          <cell r="F919">
            <v>1</v>
          </cell>
          <cell r="G919">
            <v>0</v>
          </cell>
          <cell r="H919">
            <v>0</v>
          </cell>
          <cell r="I919">
            <v>0</v>
          </cell>
          <cell r="J919">
            <v>0</v>
          </cell>
          <cell r="K919">
            <v>0</v>
          </cell>
          <cell r="L919">
            <v>0</v>
          </cell>
          <cell r="M919">
            <v>0</v>
          </cell>
          <cell r="N919">
            <v>0</v>
          </cell>
          <cell r="O919">
            <v>0</v>
          </cell>
          <cell r="P919">
            <v>0</v>
          </cell>
          <cell r="Q919">
            <v>0</v>
          </cell>
          <cell r="R919">
            <v>0</v>
          </cell>
          <cell r="S919">
            <v>1</v>
          </cell>
        </row>
        <row r="920">
          <cell r="E920" t="str">
            <v>P459</v>
          </cell>
          <cell r="F920">
            <v>1</v>
          </cell>
          <cell r="G920">
            <v>0</v>
          </cell>
          <cell r="H920">
            <v>0</v>
          </cell>
          <cell r="I920">
            <v>0</v>
          </cell>
          <cell r="J920">
            <v>0</v>
          </cell>
          <cell r="K920">
            <v>0</v>
          </cell>
          <cell r="L920">
            <v>0</v>
          </cell>
          <cell r="M920">
            <v>0</v>
          </cell>
          <cell r="N920">
            <v>0</v>
          </cell>
          <cell r="O920">
            <v>0</v>
          </cell>
          <cell r="P920">
            <v>0</v>
          </cell>
          <cell r="Q920">
            <v>0</v>
          </cell>
          <cell r="R920">
            <v>0</v>
          </cell>
          <cell r="S920">
            <v>1</v>
          </cell>
        </row>
        <row r="921">
          <cell r="E921" t="str">
            <v>T349</v>
          </cell>
          <cell r="F921">
            <v>1</v>
          </cell>
          <cell r="G921">
            <v>0</v>
          </cell>
          <cell r="H921">
            <v>0</v>
          </cell>
          <cell r="I921">
            <v>0</v>
          </cell>
          <cell r="J921">
            <v>0</v>
          </cell>
          <cell r="K921">
            <v>0</v>
          </cell>
          <cell r="L921">
            <v>0</v>
          </cell>
          <cell r="M921">
            <v>0</v>
          </cell>
          <cell r="N921">
            <v>0</v>
          </cell>
          <cell r="O921">
            <v>0</v>
          </cell>
          <cell r="P921">
            <v>0</v>
          </cell>
          <cell r="Q921">
            <v>0</v>
          </cell>
          <cell r="R921">
            <v>0</v>
          </cell>
          <cell r="S921">
            <v>1</v>
          </cell>
        </row>
        <row r="922">
          <cell r="E922" t="str">
            <v>D349</v>
          </cell>
          <cell r="F922">
            <v>1</v>
          </cell>
          <cell r="G922">
            <v>0.50051000000000001</v>
          </cell>
          <cell r="H922">
            <v>0.26329999999999998</v>
          </cell>
          <cell r="I922">
            <v>1.06E-3</v>
          </cell>
          <cell r="J922">
            <v>1.0410000000000001E-2</v>
          </cell>
          <cell r="K922">
            <v>6.9999999999999994E-5</v>
          </cell>
          <cell r="L922">
            <v>0.12099</v>
          </cell>
          <cell r="M922">
            <v>8.1360000000000002E-2</v>
          </cell>
          <cell r="N922">
            <v>2.7799999999999999E-3</v>
          </cell>
          <cell r="O922">
            <v>1.389E-2</v>
          </cell>
          <cell r="P922">
            <v>5.5799999999999999E-3</v>
          </cell>
          <cell r="Q922">
            <v>5.0000000000000002E-5</v>
          </cell>
          <cell r="R922">
            <v>1</v>
          </cell>
          <cell r="S922">
            <v>0</v>
          </cell>
        </row>
        <row r="923">
          <cell r="E923" t="str">
            <v>C311</v>
          </cell>
          <cell r="F923">
            <v>1</v>
          </cell>
          <cell r="G923">
            <v>0</v>
          </cell>
          <cell r="H923">
            <v>0</v>
          </cell>
          <cell r="I923">
            <v>0</v>
          </cell>
          <cell r="J923">
            <v>0</v>
          </cell>
          <cell r="K923">
            <v>0</v>
          </cell>
          <cell r="L923">
            <v>0</v>
          </cell>
          <cell r="M923">
            <v>0</v>
          </cell>
          <cell r="N923">
            <v>0</v>
          </cell>
          <cell r="O923">
            <v>0</v>
          </cell>
          <cell r="P923">
            <v>0</v>
          </cell>
          <cell r="Q923">
            <v>0</v>
          </cell>
          <cell r="R923">
            <v>0</v>
          </cell>
          <cell r="S923">
            <v>1</v>
          </cell>
        </row>
        <row r="924">
          <cell r="E924" t="str">
            <v>C319</v>
          </cell>
          <cell r="F924">
            <v>1</v>
          </cell>
          <cell r="G924">
            <v>0</v>
          </cell>
          <cell r="H924">
            <v>0</v>
          </cell>
          <cell r="I924">
            <v>0</v>
          </cell>
          <cell r="J924">
            <v>0</v>
          </cell>
          <cell r="K924">
            <v>0</v>
          </cell>
          <cell r="L924">
            <v>0</v>
          </cell>
          <cell r="M924">
            <v>0</v>
          </cell>
          <cell r="N924">
            <v>0</v>
          </cell>
          <cell r="O924">
            <v>0</v>
          </cell>
          <cell r="P924">
            <v>0</v>
          </cell>
          <cell r="Q924">
            <v>0</v>
          </cell>
          <cell r="R924">
            <v>0</v>
          </cell>
          <cell r="S924">
            <v>1</v>
          </cell>
        </row>
        <row r="925">
          <cell r="E925" t="str">
            <v>C331</v>
          </cell>
          <cell r="F925">
            <v>1</v>
          </cell>
          <cell r="G925">
            <v>0</v>
          </cell>
          <cell r="H925">
            <v>0</v>
          </cell>
          <cell r="I925">
            <v>0</v>
          </cell>
          <cell r="J925">
            <v>0</v>
          </cell>
          <cell r="K925">
            <v>0</v>
          </cell>
          <cell r="L925">
            <v>0</v>
          </cell>
          <cell r="M925">
            <v>0</v>
          </cell>
          <cell r="N925">
            <v>0</v>
          </cell>
          <cell r="O925">
            <v>0</v>
          </cell>
          <cell r="P925">
            <v>0</v>
          </cell>
          <cell r="Q925">
            <v>0</v>
          </cell>
          <cell r="R925">
            <v>0</v>
          </cell>
          <cell r="S925">
            <v>1</v>
          </cell>
        </row>
        <row r="926">
          <cell r="E926" t="str">
            <v>S319</v>
          </cell>
          <cell r="F926">
            <v>1</v>
          </cell>
          <cell r="G926">
            <v>0</v>
          </cell>
          <cell r="H926">
            <v>0</v>
          </cell>
          <cell r="I926">
            <v>0</v>
          </cell>
          <cell r="J926">
            <v>0</v>
          </cell>
          <cell r="K926">
            <v>0</v>
          </cell>
          <cell r="L926">
            <v>0</v>
          </cell>
          <cell r="M926">
            <v>0</v>
          </cell>
          <cell r="N926">
            <v>0</v>
          </cell>
          <cell r="O926">
            <v>0</v>
          </cell>
          <cell r="P926">
            <v>0</v>
          </cell>
          <cell r="Q926">
            <v>0</v>
          </cell>
          <cell r="R926">
            <v>0</v>
          </cell>
          <cell r="S926">
            <v>1</v>
          </cell>
        </row>
        <row r="927">
          <cell r="E927" t="str">
            <v>OM39</v>
          </cell>
          <cell r="F927">
            <v>1</v>
          </cell>
          <cell r="G927">
            <v>0.50051000000000001</v>
          </cell>
          <cell r="H927">
            <v>0.26329999999999998</v>
          </cell>
          <cell r="I927">
            <v>1.06E-3</v>
          </cell>
          <cell r="J927">
            <v>1.0410000000000001E-2</v>
          </cell>
          <cell r="K927">
            <v>6.9999999999999994E-5</v>
          </cell>
          <cell r="L927">
            <v>0.12099</v>
          </cell>
          <cell r="M927">
            <v>8.1360000000000002E-2</v>
          </cell>
          <cell r="N927">
            <v>2.7799999999999999E-3</v>
          </cell>
          <cell r="O927">
            <v>1.389E-2</v>
          </cell>
          <cell r="P927">
            <v>5.5799999999999999E-3</v>
          </cell>
          <cell r="Q927">
            <v>5.0000000000000002E-5</v>
          </cell>
          <cell r="R927">
            <v>1</v>
          </cell>
          <cell r="S927">
            <v>0</v>
          </cell>
        </row>
        <row r="930">
          <cell r="E930" t="str">
            <v>A300</v>
          </cell>
          <cell r="F930">
            <v>1</v>
          </cell>
          <cell r="G930">
            <v>0</v>
          </cell>
          <cell r="H930">
            <v>0</v>
          </cell>
          <cell r="I930">
            <v>0</v>
          </cell>
          <cell r="J930">
            <v>0</v>
          </cell>
          <cell r="K930">
            <v>0</v>
          </cell>
          <cell r="L930">
            <v>0</v>
          </cell>
          <cell r="M930">
            <v>0</v>
          </cell>
          <cell r="N930">
            <v>0</v>
          </cell>
          <cell r="O930">
            <v>0</v>
          </cell>
          <cell r="P930">
            <v>0</v>
          </cell>
          <cell r="Q930">
            <v>0</v>
          </cell>
          <cell r="R930">
            <v>0</v>
          </cell>
          <cell r="S930">
            <v>1</v>
          </cell>
        </row>
        <row r="931">
          <cell r="E931" t="str">
            <v>A302</v>
          </cell>
          <cell r="F931">
            <v>1</v>
          </cell>
          <cell r="G931">
            <v>0</v>
          </cell>
          <cell r="H931">
            <v>0</v>
          </cell>
          <cell r="I931">
            <v>0</v>
          </cell>
          <cell r="J931">
            <v>0</v>
          </cell>
          <cell r="K931">
            <v>0</v>
          </cell>
          <cell r="L931">
            <v>0</v>
          </cell>
          <cell r="M931">
            <v>0</v>
          </cell>
          <cell r="N931">
            <v>0</v>
          </cell>
          <cell r="O931">
            <v>0</v>
          </cell>
          <cell r="P931">
            <v>0</v>
          </cell>
          <cell r="Q931">
            <v>0</v>
          </cell>
          <cell r="R931">
            <v>0</v>
          </cell>
          <cell r="S931">
            <v>1</v>
          </cell>
        </row>
        <row r="932">
          <cell r="E932" t="str">
            <v>A304</v>
          </cell>
          <cell r="F932">
            <v>1</v>
          </cell>
          <cell r="G932">
            <v>0</v>
          </cell>
          <cell r="H932">
            <v>0</v>
          </cell>
          <cell r="I932">
            <v>0</v>
          </cell>
          <cell r="J932">
            <v>0</v>
          </cell>
          <cell r="K932">
            <v>0</v>
          </cell>
          <cell r="L932">
            <v>0</v>
          </cell>
          <cell r="M932">
            <v>0</v>
          </cell>
          <cell r="N932">
            <v>0</v>
          </cell>
          <cell r="O932">
            <v>0</v>
          </cell>
          <cell r="P932">
            <v>0</v>
          </cell>
          <cell r="Q932">
            <v>0</v>
          </cell>
          <cell r="R932">
            <v>0</v>
          </cell>
          <cell r="S932">
            <v>1</v>
          </cell>
        </row>
        <row r="933">
          <cell r="E933" t="str">
            <v>A306</v>
          </cell>
          <cell r="F933">
            <v>1</v>
          </cell>
          <cell r="G933">
            <v>0.50051000000000001</v>
          </cell>
          <cell r="H933">
            <v>0.26329999999999998</v>
          </cell>
          <cell r="I933">
            <v>1.06E-3</v>
          </cell>
          <cell r="J933">
            <v>1.0410000000000001E-2</v>
          </cell>
          <cell r="K933">
            <v>6.9999999999999994E-5</v>
          </cell>
          <cell r="L933">
            <v>0.12099</v>
          </cell>
          <cell r="M933">
            <v>8.1360000000000002E-2</v>
          </cell>
          <cell r="N933">
            <v>2.7799999999999999E-3</v>
          </cell>
          <cell r="O933">
            <v>1.389E-2</v>
          </cell>
          <cell r="P933">
            <v>5.5799999999999999E-3</v>
          </cell>
          <cell r="Q933">
            <v>5.0000000000000002E-5</v>
          </cell>
          <cell r="R933">
            <v>1</v>
          </cell>
          <cell r="S933">
            <v>0</v>
          </cell>
        </row>
        <row r="934">
          <cell r="E934" t="str">
            <v>A308</v>
          </cell>
          <cell r="F934">
            <v>1</v>
          </cell>
          <cell r="G934">
            <v>0</v>
          </cell>
          <cell r="H934">
            <v>0</v>
          </cell>
          <cell r="I934">
            <v>0</v>
          </cell>
          <cell r="J934">
            <v>0</v>
          </cell>
          <cell r="K934">
            <v>0</v>
          </cell>
          <cell r="L934">
            <v>0</v>
          </cell>
          <cell r="M934">
            <v>0</v>
          </cell>
          <cell r="N934">
            <v>0</v>
          </cell>
          <cell r="O934">
            <v>0</v>
          </cell>
          <cell r="P934">
            <v>0</v>
          </cell>
          <cell r="Q934">
            <v>0</v>
          </cell>
          <cell r="R934">
            <v>0</v>
          </cell>
          <cell r="S934">
            <v>1</v>
          </cell>
        </row>
        <row r="935">
          <cell r="E935" t="str">
            <v>A310</v>
          </cell>
          <cell r="F935">
            <v>1</v>
          </cell>
          <cell r="G935">
            <v>0</v>
          </cell>
          <cell r="H935">
            <v>0</v>
          </cell>
          <cell r="I935">
            <v>0</v>
          </cell>
          <cell r="J935">
            <v>0</v>
          </cell>
          <cell r="K935">
            <v>0</v>
          </cell>
          <cell r="L935">
            <v>0</v>
          </cell>
          <cell r="M935">
            <v>0</v>
          </cell>
          <cell r="N935">
            <v>0</v>
          </cell>
          <cell r="O935">
            <v>0</v>
          </cell>
          <cell r="P935">
            <v>0</v>
          </cell>
          <cell r="Q935">
            <v>0</v>
          </cell>
          <cell r="R935">
            <v>0</v>
          </cell>
          <cell r="S935">
            <v>1</v>
          </cell>
        </row>
        <row r="936">
          <cell r="E936" t="str">
            <v>A312</v>
          </cell>
          <cell r="F936">
            <v>1</v>
          </cell>
          <cell r="G936">
            <v>0</v>
          </cell>
          <cell r="H936">
            <v>0</v>
          </cell>
          <cell r="I936">
            <v>0</v>
          </cell>
          <cell r="J936">
            <v>0</v>
          </cell>
          <cell r="K936">
            <v>0</v>
          </cell>
          <cell r="L936">
            <v>0</v>
          </cell>
          <cell r="M936">
            <v>0</v>
          </cell>
          <cell r="N936">
            <v>0</v>
          </cell>
          <cell r="O936">
            <v>0</v>
          </cell>
          <cell r="P936">
            <v>0</v>
          </cell>
          <cell r="Q936">
            <v>0</v>
          </cell>
          <cell r="R936">
            <v>0</v>
          </cell>
          <cell r="S936">
            <v>1</v>
          </cell>
        </row>
        <row r="937">
          <cell r="E937" t="str">
            <v>A315</v>
          </cell>
          <cell r="F937">
            <v>1</v>
          </cell>
          <cell r="G937">
            <v>0.50051000000000001</v>
          </cell>
          <cell r="H937">
            <v>0.26329999999999998</v>
          </cell>
          <cell r="I937">
            <v>1.06E-3</v>
          </cell>
          <cell r="J937">
            <v>1.0410000000000001E-2</v>
          </cell>
          <cell r="K937">
            <v>6.9999999999999994E-5</v>
          </cell>
          <cell r="L937">
            <v>0.12099</v>
          </cell>
          <cell r="M937">
            <v>8.1360000000000002E-2</v>
          </cell>
          <cell r="N937">
            <v>2.7799999999999999E-3</v>
          </cell>
          <cell r="O937">
            <v>1.389E-2</v>
          </cell>
          <cell r="P937">
            <v>5.5799999999999999E-3</v>
          </cell>
          <cell r="Q937">
            <v>5.0000000000000002E-5</v>
          </cell>
          <cell r="R937">
            <v>1</v>
          </cell>
          <cell r="S937">
            <v>0</v>
          </cell>
        </row>
        <row r="938">
          <cell r="E938" t="str">
            <v>A357</v>
          </cell>
          <cell r="F938">
            <v>1</v>
          </cell>
          <cell r="G938">
            <v>0.50051000000000001</v>
          </cell>
          <cell r="H938">
            <v>0.26329999999999998</v>
          </cell>
          <cell r="I938">
            <v>1.06E-3</v>
          </cell>
          <cell r="J938">
            <v>1.0410000000000001E-2</v>
          </cell>
          <cell r="K938">
            <v>6.9999999999999994E-5</v>
          </cell>
          <cell r="L938">
            <v>0.12099</v>
          </cell>
          <cell r="M938">
            <v>8.1360000000000002E-2</v>
          </cell>
          <cell r="N938">
            <v>2.7799999999999999E-3</v>
          </cell>
          <cell r="O938">
            <v>1.389E-2</v>
          </cell>
          <cell r="P938">
            <v>5.5799999999999999E-3</v>
          </cell>
          <cell r="Q938">
            <v>5.0000000000000002E-5</v>
          </cell>
          <cell r="R938">
            <v>1</v>
          </cell>
          <cell r="S938">
            <v>0</v>
          </cell>
        </row>
        <row r="941">
          <cell r="E941" t="str">
            <v>P489</v>
          </cell>
          <cell r="F941">
            <v>1</v>
          </cell>
          <cell r="G941">
            <v>0</v>
          </cell>
          <cell r="H941">
            <v>0</v>
          </cell>
          <cell r="I941">
            <v>0</v>
          </cell>
          <cell r="J941">
            <v>0</v>
          </cell>
          <cell r="K941">
            <v>0</v>
          </cell>
          <cell r="L941">
            <v>0</v>
          </cell>
          <cell r="M941">
            <v>0</v>
          </cell>
          <cell r="N941">
            <v>0</v>
          </cell>
          <cell r="O941">
            <v>0</v>
          </cell>
          <cell r="P941">
            <v>0</v>
          </cell>
          <cell r="Q941">
            <v>0</v>
          </cell>
          <cell r="R941">
            <v>0</v>
          </cell>
          <cell r="S941">
            <v>1</v>
          </cell>
        </row>
        <row r="942">
          <cell r="E942" t="str">
            <v>T489</v>
          </cell>
          <cell r="F942">
            <v>1</v>
          </cell>
          <cell r="G942">
            <v>0</v>
          </cell>
          <cell r="H942">
            <v>0</v>
          </cell>
          <cell r="I942">
            <v>0</v>
          </cell>
          <cell r="J942">
            <v>0</v>
          </cell>
          <cell r="K942">
            <v>0</v>
          </cell>
          <cell r="L942">
            <v>0</v>
          </cell>
          <cell r="M942">
            <v>0</v>
          </cell>
          <cell r="N942">
            <v>0</v>
          </cell>
          <cell r="O942">
            <v>0</v>
          </cell>
          <cell r="P942">
            <v>0</v>
          </cell>
          <cell r="Q942">
            <v>0</v>
          </cell>
          <cell r="R942">
            <v>0</v>
          </cell>
          <cell r="S942">
            <v>1</v>
          </cell>
        </row>
        <row r="943">
          <cell r="E943" t="str">
            <v>D489</v>
          </cell>
          <cell r="F943">
            <v>1</v>
          </cell>
          <cell r="G943">
            <v>0.44142999999999999</v>
          </cell>
          <cell r="H943">
            <v>0.29509000000000002</v>
          </cell>
          <cell r="I943">
            <v>1.33E-3</v>
          </cell>
          <cell r="J943">
            <v>6.8500000000000002E-3</v>
          </cell>
          <cell r="K943">
            <v>6.9999999999999994E-5</v>
          </cell>
          <cell r="L943">
            <v>0.14532</v>
          </cell>
          <cell r="M943">
            <v>9.9720000000000003E-2</v>
          </cell>
          <cell r="N943">
            <v>3.3500000000000001E-3</v>
          </cell>
          <cell r="O943">
            <v>0</v>
          </cell>
          <cell r="P943">
            <v>6.79E-3</v>
          </cell>
          <cell r="Q943">
            <v>5.0000000000000002E-5</v>
          </cell>
          <cell r="R943">
            <v>1.0000000000000002</v>
          </cell>
          <cell r="S943">
            <v>0</v>
          </cell>
        </row>
        <row r="944">
          <cell r="E944" t="str">
            <v>G489</v>
          </cell>
          <cell r="F944">
            <v>1</v>
          </cell>
          <cell r="G944">
            <v>0.98314999999999997</v>
          </cell>
          <cell r="H944">
            <v>8.5100000000000002E-3</v>
          </cell>
          <cell r="I944">
            <v>4.0000000000000003E-5</v>
          </cell>
          <cell r="J944">
            <v>1.3999999999999999E-4</v>
          </cell>
          <cell r="K944">
            <v>0</v>
          </cell>
          <cell r="L944">
            <v>4.0299999999999997E-3</v>
          </cell>
          <cell r="M944">
            <v>2.7599999999999999E-3</v>
          </cell>
          <cell r="N944">
            <v>1E-4</v>
          </cell>
          <cell r="O944">
            <v>1.2199999999999999E-3</v>
          </cell>
          <cell r="P944">
            <v>4.0000000000000003E-5</v>
          </cell>
          <cell r="Q944">
            <v>0</v>
          </cell>
          <cell r="R944">
            <v>0.99999000000000005</v>
          </cell>
          <cell r="S944">
            <v>9.9999999999544897E-6</v>
          </cell>
        </row>
        <row r="945">
          <cell r="E945" t="str">
            <v>C489</v>
          </cell>
          <cell r="F945">
            <v>1</v>
          </cell>
          <cell r="G945">
            <v>0.98309999999999997</v>
          </cell>
          <cell r="H945">
            <v>8.5000000000000006E-3</v>
          </cell>
          <cell r="I945">
            <v>6.0000000000000002E-5</v>
          </cell>
          <cell r="J945">
            <v>1.7000000000000001E-4</v>
          </cell>
          <cell r="K945">
            <v>0</v>
          </cell>
          <cell r="L945">
            <v>4.0299999999999997E-3</v>
          </cell>
          <cell r="M945">
            <v>2.7399999999999998E-3</v>
          </cell>
          <cell r="N945">
            <v>1.1E-4</v>
          </cell>
          <cell r="O945">
            <v>1.23E-3</v>
          </cell>
          <cell r="P945">
            <v>6.0000000000000002E-5</v>
          </cell>
          <cell r="Q945">
            <v>0</v>
          </cell>
          <cell r="R945">
            <v>0.99999999999999978</v>
          </cell>
          <cell r="S945">
            <v>0</v>
          </cell>
        </row>
        <row r="946">
          <cell r="E946" t="str">
            <v>DE49</v>
          </cell>
          <cell r="F946">
            <v>1</v>
          </cell>
          <cell r="G946">
            <v>0.44841999999999999</v>
          </cell>
          <cell r="H946">
            <v>0.29138999999999998</v>
          </cell>
          <cell r="I946">
            <v>1.31E-3</v>
          </cell>
          <cell r="J946">
            <v>6.7600000000000004E-3</v>
          </cell>
          <cell r="K946">
            <v>6.9999999999999994E-5</v>
          </cell>
          <cell r="L946">
            <v>0.14349999999999999</v>
          </cell>
          <cell r="M946">
            <v>9.8470000000000002E-2</v>
          </cell>
          <cell r="N946">
            <v>3.31E-3</v>
          </cell>
          <cell r="O946">
            <v>2.0000000000000002E-5</v>
          </cell>
          <cell r="P946">
            <v>6.7000000000000002E-3</v>
          </cell>
          <cell r="Q946">
            <v>5.0000000000000002E-5</v>
          </cell>
          <cell r="R946">
            <v>1</v>
          </cell>
          <cell r="S946">
            <v>0</v>
          </cell>
        </row>
        <row r="949">
          <cell r="E949" t="str">
            <v>L529</v>
          </cell>
          <cell r="F949">
            <v>1</v>
          </cell>
          <cell r="G949">
            <v>0.44273000000000001</v>
          </cell>
          <cell r="H949">
            <v>0.29441000000000001</v>
          </cell>
          <cell r="I949">
            <v>1.33E-3</v>
          </cell>
          <cell r="J949">
            <v>6.8300000000000001E-3</v>
          </cell>
          <cell r="K949">
            <v>6.9999999999999994E-5</v>
          </cell>
          <cell r="L949">
            <v>0.14498</v>
          </cell>
          <cell r="M949">
            <v>9.9489999999999995E-2</v>
          </cell>
          <cell r="N949">
            <v>3.3400000000000001E-3</v>
          </cell>
          <cell r="O949">
            <v>0</v>
          </cell>
          <cell r="P949">
            <v>6.77E-3</v>
          </cell>
          <cell r="Q949">
            <v>5.0000000000000002E-5</v>
          </cell>
          <cell r="R949">
            <v>1.0000000000000002</v>
          </cell>
          <cell r="S949">
            <v>0</v>
          </cell>
        </row>
        <row r="950">
          <cell r="E950" t="str">
            <v>L589</v>
          </cell>
          <cell r="F950">
            <v>1</v>
          </cell>
          <cell r="G950">
            <v>0.50049999999999994</v>
          </cell>
          <cell r="H950">
            <v>0.26329999999999998</v>
          </cell>
          <cell r="I950">
            <v>1.06E-3</v>
          </cell>
          <cell r="J950">
            <v>1.0410000000000001E-2</v>
          </cell>
          <cell r="K950">
            <v>6.9999999999999994E-5</v>
          </cell>
          <cell r="L950">
            <v>0.12099</v>
          </cell>
          <cell r="M950">
            <v>8.1360000000000002E-2</v>
          </cell>
          <cell r="N950">
            <v>2.7799999999999999E-3</v>
          </cell>
          <cell r="O950">
            <v>1.389E-2</v>
          </cell>
          <cell r="P950">
            <v>5.5799999999999999E-3</v>
          </cell>
          <cell r="Q950">
            <v>5.0000000000000002E-5</v>
          </cell>
          <cell r="R950">
            <v>0.99998999999999993</v>
          </cell>
          <cell r="S950">
            <v>1.0000000000065512E-5</v>
          </cell>
        </row>
        <row r="951">
          <cell r="E951" t="str">
            <v>L599</v>
          </cell>
          <cell r="F951">
            <v>1</v>
          </cell>
          <cell r="G951">
            <v>0.44940000000000002</v>
          </cell>
          <cell r="H951">
            <v>0.29067999999999999</v>
          </cell>
          <cell r="I951">
            <v>1.2999999999999999E-3</v>
          </cell>
          <cell r="J951">
            <v>7.2300000000000003E-3</v>
          </cell>
          <cell r="K951">
            <v>6.9999999999999994E-5</v>
          </cell>
          <cell r="L951">
            <v>0.14213000000000001</v>
          </cell>
          <cell r="M951">
            <v>9.7320000000000004E-2</v>
          </cell>
          <cell r="N951">
            <v>3.2699999999999999E-3</v>
          </cell>
          <cell r="O951">
            <v>1.92E-3</v>
          </cell>
          <cell r="P951">
            <v>6.62E-3</v>
          </cell>
          <cell r="Q951">
            <v>5.0000000000000002E-5</v>
          </cell>
          <cell r="R951">
            <v>0.99998999999999993</v>
          </cell>
          <cell r="S951">
            <v>1.0000000000065512E-5</v>
          </cell>
        </row>
        <row r="952">
          <cell r="E952" t="str">
            <v>OP69</v>
          </cell>
          <cell r="F952">
            <v>1</v>
          </cell>
          <cell r="G952">
            <v>0.47672999999999999</v>
          </cell>
          <cell r="H952">
            <v>0.27611000000000002</v>
          </cell>
          <cell r="I952">
            <v>1.1800000000000001E-3</v>
          </cell>
          <cell r="J952">
            <v>8.7899999999999992E-3</v>
          </cell>
          <cell r="K952">
            <v>6.9999999999999994E-5</v>
          </cell>
          <cell r="L952">
            <v>0.13117000000000001</v>
          </cell>
          <cell r="M952">
            <v>8.9080000000000006E-2</v>
          </cell>
          <cell r="N952">
            <v>3.0200000000000001E-3</v>
          </cell>
          <cell r="O952">
            <v>7.7299999999999999E-3</v>
          </cell>
          <cell r="P952">
            <v>6.0899999999999999E-3</v>
          </cell>
          <cell r="Q952">
            <v>5.0000000000000002E-5</v>
          </cell>
          <cell r="R952">
            <v>1.0000200000000001</v>
          </cell>
          <cell r="S952">
            <v>-2.0000000000131024E-5</v>
          </cell>
        </row>
        <row r="955">
          <cell r="E955" t="str">
            <v>CS09</v>
          </cell>
          <cell r="F955">
            <v>1</v>
          </cell>
          <cell r="G955">
            <v>0.47034931499999999</v>
          </cell>
          <cell r="H955">
            <v>0.27953619200000002</v>
          </cell>
          <cell r="I955">
            <v>1.2029320000000001E-3</v>
          </cell>
          <cell r="J955">
            <v>8.4562209999999999E-3</v>
          </cell>
          <cell r="K955">
            <v>6.8472000000000004E-5</v>
          </cell>
          <cell r="L955">
            <v>0.133686055</v>
          </cell>
          <cell r="M955">
            <v>9.0973022000000001E-2</v>
          </cell>
          <cell r="N955">
            <v>3.078038E-3</v>
          </cell>
          <cell r="O955">
            <v>6.3870350000000001E-3</v>
          </cell>
          <cell r="P955">
            <v>6.2116589999999996E-3</v>
          </cell>
          <cell r="Q955">
            <v>5.1057999999999998E-5</v>
          </cell>
          <cell r="R955">
            <v>0.99999999900000003</v>
          </cell>
          <cell r="S955">
            <v>9.9999997171806854E-10</v>
          </cell>
        </row>
      </sheetData>
      <sheetData sheetId="14">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row>
        <row r="825">
          <cell r="E825" t="str">
            <v>K209</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15</v>
          </cell>
          <cell r="P840">
            <v>394</v>
          </cell>
          <cell r="Q840">
            <v>11</v>
          </cell>
          <cell r="R840">
            <v>140014</v>
          </cell>
          <cell r="S840">
            <v>0</v>
          </cell>
        </row>
        <row r="841">
          <cell r="E841" t="str">
            <v>K405</v>
          </cell>
          <cell r="F841">
            <v>1</v>
          </cell>
          <cell r="G841">
            <v>0.90183999999999997</v>
          </cell>
          <cell r="H841">
            <v>9.1660000000000005E-2</v>
          </cell>
          <cell r="I841">
            <v>1.2199999999999999E-3</v>
          </cell>
          <cell r="J841">
            <v>7.3999999999999999E-4</v>
          </cell>
          <cell r="K841">
            <v>1.1E-4</v>
          </cell>
          <cell r="L841">
            <v>1.1000000000000001E-3</v>
          </cell>
          <cell r="M841">
            <v>2.5999999999999998E-4</v>
          </cell>
          <cell r="N841">
            <v>6.9999999999999994E-5</v>
          </cell>
          <cell r="O841">
            <v>1.1E-4</v>
          </cell>
          <cell r="P841">
            <v>2.81E-3</v>
          </cell>
          <cell r="Q841">
            <v>8.0000000000000007E-5</v>
          </cell>
          <cell r="R841">
            <v>1</v>
          </cell>
          <cell r="S841">
            <v>0</v>
          </cell>
        </row>
        <row r="842">
          <cell r="F842">
            <v>139999</v>
          </cell>
          <cell r="G842">
            <v>126269</v>
          </cell>
          <cell r="H842">
            <v>12833</v>
          </cell>
          <cell r="I842">
            <v>171</v>
          </cell>
          <cell r="J842">
            <v>104</v>
          </cell>
          <cell r="K842">
            <v>16</v>
          </cell>
          <cell r="L842">
            <v>154</v>
          </cell>
          <cell r="M842">
            <v>37</v>
          </cell>
          <cell r="N842">
            <v>10</v>
          </cell>
          <cell r="O842">
            <v>0</v>
          </cell>
          <cell r="P842">
            <v>394</v>
          </cell>
          <cell r="Q842">
            <v>11</v>
          </cell>
          <cell r="R842">
            <v>139999</v>
          </cell>
          <cell r="S842">
            <v>0</v>
          </cell>
        </row>
        <row r="843">
          <cell r="E843" t="str">
            <v>K406</v>
          </cell>
          <cell r="F843">
            <v>1</v>
          </cell>
          <cell r="G843">
            <v>0.90195000000000003</v>
          </cell>
          <cell r="H843">
            <v>9.1660000000000005E-2</v>
          </cell>
          <cell r="I843">
            <v>1.2199999999999999E-3</v>
          </cell>
          <cell r="J843">
            <v>7.3999999999999999E-4</v>
          </cell>
          <cell r="K843">
            <v>1.1E-4</v>
          </cell>
          <cell r="L843">
            <v>1.1000000000000001E-3</v>
          </cell>
          <cell r="M843">
            <v>2.5999999999999998E-4</v>
          </cell>
          <cell r="N843">
            <v>6.9999999999999994E-5</v>
          </cell>
          <cell r="O843">
            <v>0</v>
          </cell>
          <cell r="P843">
            <v>2.81E-3</v>
          </cell>
          <cell r="Q843">
            <v>8.0000000000000007E-5</v>
          </cell>
          <cell r="R843">
            <v>1</v>
          </cell>
          <cell r="S843">
            <v>0</v>
          </cell>
        </row>
        <row r="844">
          <cell r="F844">
            <v>6350638</v>
          </cell>
          <cell r="G844">
            <v>3299927</v>
          </cell>
          <cell r="H844">
            <v>2696699</v>
          </cell>
          <cell r="I844">
            <v>0</v>
          </cell>
          <cell r="J844">
            <v>22657</v>
          </cell>
          <cell r="K844">
            <v>2715</v>
          </cell>
          <cell r="L844">
            <v>125418</v>
          </cell>
          <cell r="M844">
            <v>0</v>
          </cell>
          <cell r="N844">
            <v>10654</v>
          </cell>
          <cell r="O844">
            <v>16048</v>
          </cell>
          <cell r="P844">
            <v>0</v>
          </cell>
          <cell r="Q844">
            <v>176520</v>
          </cell>
          <cell r="R844">
            <v>6350638</v>
          </cell>
          <cell r="S844">
            <v>0</v>
          </cell>
        </row>
        <row r="845">
          <cell r="E845" t="str">
            <v>K407</v>
          </cell>
          <cell r="F845">
            <v>1</v>
          </cell>
          <cell r="G845">
            <v>0.51961000000000002</v>
          </cell>
          <cell r="H845">
            <v>0.42463000000000001</v>
          </cell>
          <cell r="I845">
            <v>0</v>
          </cell>
          <cell r="J845">
            <v>3.5699999999999998E-3</v>
          </cell>
          <cell r="K845">
            <v>4.2999999999999999E-4</v>
          </cell>
          <cell r="L845">
            <v>1.975E-2</v>
          </cell>
          <cell r="M845">
            <v>0</v>
          </cell>
          <cell r="N845">
            <v>1.6800000000000001E-3</v>
          </cell>
          <cell r="O845">
            <v>2.5300000000000001E-3</v>
          </cell>
          <cell r="P845">
            <v>0</v>
          </cell>
          <cell r="Q845">
            <v>2.7799999999999998E-2</v>
          </cell>
          <cell r="R845">
            <v>1</v>
          </cell>
          <cell r="S845">
            <v>0</v>
          </cell>
        </row>
        <row r="846">
          <cell r="F846">
            <v>243058</v>
          </cell>
          <cell r="G846">
            <v>126269</v>
          </cell>
          <cell r="H846">
            <v>102622</v>
          </cell>
          <cell r="I846">
            <v>171</v>
          </cell>
          <cell r="J846">
            <v>832</v>
          </cell>
          <cell r="K846">
            <v>112</v>
          </cell>
          <cell r="L846">
            <v>4804</v>
          </cell>
          <cell r="M846">
            <v>37</v>
          </cell>
          <cell r="N846">
            <v>410</v>
          </cell>
          <cell r="O846">
            <v>620</v>
          </cell>
          <cell r="P846">
            <v>394</v>
          </cell>
          <cell r="Q846">
            <v>6787</v>
          </cell>
          <cell r="R846">
            <v>243058</v>
          </cell>
          <cell r="S846">
            <v>0</v>
          </cell>
        </row>
        <row r="847">
          <cell r="E847" t="str">
            <v>K409</v>
          </cell>
          <cell r="F847">
            <v>1</v>
          </cell>
          <cell r="G847">
            <v>0.51951999999999998</v>
          </cell>
          <cell r="H847">
            <v>0.42220999999999997</v>
          </cell>
          <cell r="I847">
            <v>6.9999999999999999E-4</v>
          </cell>
          <cell r="J847">
            <v>3.4199999999999999E-3</v>
          </cell>
          <cell r="K847">
            <v>4.6000000000000001E-4</v>
          </cell>
          <cell r="L847">
            <v>1.976E-2</v>
          </cell>
          <cell r="M847">
            <v>1.4999999999999999E-4</v>
          </cell>
          <cell r="N847">
            <v>1.6900000000000001E-3</v>
          </cell>
          <cell r="O847">
            <v>2.5500000000000002E-3</v>
          </cell>
          <cell r="P847">
            <v>1.6199999999999999E-3</v>
          </cell>
          <cell r="Q847">
            <v>2.792E-2</v>
          </cell>
          <cell r="R847">
            <v>1</v>
          </cell>
          <cell r="S847">
            <v>0</v>
          </cell>
        </row>
        <row r="848">
          <cell r="F848">
            <v>1498164.3299999998</v>
          </cell>
          <cell r="G848">
            <v>1370864</v>
          </cell>
          <cell r="H848">
            <v>62282.329999999842</v>
          </cell>
          <cell r="I848">
            <v>409</v>
          </cell>
          <cell r="J848">
            <v>432</v>
          </cell>
          <cell r="K848">
            <v>20</v>
          </cell>
          <cell r="L848">
            <v>31779</v>
          </cell>
          <cell r="M848">
            <v>21269</v>
          </cell>
          <cell r="N848">
            <v>642</v>
          </cell>
          <cell r="O848">
            <v>9153</v>
          </cell>
          <cell r="P848">
            <v>1309</v>
          </cell>
          <cell r="Q848">
            <v>5</v>
          </cell>
          <cell r="R848">
            <v>1498164.3299999998</v>
          </cell>
          <cell r="S848">
            <v>0</v>
          </cell>
        </row>
        <row r="849">
          <cell r="E849" t="str">
            <v>K411</v>
          </cell>
          <cell r="F849">
            <v>1</v>
          </cell>
          <cell r="G849">
            <v>0.91503999999999996</v>
          </cell>
          <cell r="H849">
            <v>4.1570000000000003E-2</v>
          </cell>
          <cell r="I849">
            <v>2.7E-4</v>
          </cell>
          <cell r="J849">
            <v>2.9E-4</v>
          </cell>
          <cell r="K849">
            <v>1.0000000000000001E-5</v>
          </cell>
          <cell r="L849">
            <v>2.121E-2</v>
          </cell>
          <cell r="M849">
            <v>1.4200000000000001E-2</v>
          </cell>
          <cell r="N849">
            <v>4.2999999999999999E-4</v>
          </cell>
          <cell r="O849">
            <v>6.11E-3</v>
          </cell>
          <cell r="P849">
            <v>8.7000000000000001E-4</v>
          </cell>
          <cell r="Q849">
            <v>0</v>
          </cell>
          <cell r="R849">
            <v>0.99999999999999989</v>
          </cell>
          <cell r="S849">
            <v>0</v>
          </cell>
        </row>
        <row r="850">
          <cell r="F850">
            <v>4178319049</v>
          </cell>
          <cell r="G850">
            <v>1508499412</v>
          </cell>
          <cell r="H850">
            <v>1170020285</v>
          </cell>
          <cell r="I850">
            <v>6457090</v>
          </cell>
          <cell r="J850">
            <v>19810437</v>
          </cell>
          <cell r="K850">
            <v>277908</v>
          </cell>
          <cell r="L850">
            <v>703656372</v>
          </cell>
          <cell r="M850">
            <v>514497482</v>
          </cell>
          <cell r="N850">
            <v>16235892</v>
          </cell>
          <cell r="O850">
            <v>218940404</v>
          </cell>
          <cell r="P850">
            <v>19741342</v>
          </cell>
          <cell r="Q850">
            <v>182425</v>
          </cell>
          <cell r="R850">
            <v>4178319049</v>
          </cell>
          <cell r="S850">
            <v>0</v>
          </cell>
        </row>
        <row r="851">
          <cell r="E851" t="str">
            <v>K302</v>
          </cell>
          <cell r="F851">
            <v>1</v>
          </cell>
          <cell r="G851">
            <v>0.36102000000000001</v>
          </cell>
          <cell r="H851">
            <v>0.28001999999999999</v>
          </cell>
          <cell r="I851">
            <v>1.5499999999999999E-3</v>
          </cell>
          <cell r="J851">
            <v>4.7400000000000003E-3</v>
          </cell>
          <cell r="K851">
            <v>6.9999999999999994E-5</v>
          </cell>
          <cell r="L851">
            <v>0.16841</v>
          </cell>
          <cell r="M851">
            <v>0.12314</v>
          </cell>
          <cell r="N851">
            <v>3.8899999999999998E-3</v>
          </cell>
          <cell r="O851">
            <v>5.2400000000000002E-2</v>
          </cell>
          <cell r="P851">
            <v>4.7200000000000002E-3</v>
          </cell>
          <cell r="Q851">
            <v>4.0000000000000003E-5</v>
          </cell>
          <cell r="R851">
            <v>1</v>
          </cell>
          <cell r="S851">
            <v>0</v>
          </cell>
        </row>
        <row r="853">
          <cell r="E853" t="str">
            <v>R600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row>
        <row r="854">
          <cell r="E854" t="str">
            <v>R602</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row>
        <row r="856">
          <cell r="R856" t="str">
            <v>FR-16(7)(v)-12</v>
          </cell>
        </row>
        <row r="857">
          <cell r="R857" t="str">
            <v>WITNESS RESPONSIBLE:</v>
          </cell>
        </row>
        <row r="858">
          <cell r="R858" t="str">
            <v>JAMES E. ZIOLKOWSKI</v>
          </cell>
        </row>
        <row r="859">
          <cell r="R859" t="str">
            <v>PAGE 17 OF 18</v>
          </cell>
        </row>
        <row r="862">
          <cell r="F862" t="str">
            <v>TOTAL</v>
          </cell>
          <cell r="H862" t="str">
            <v>DS</v>
          </cell>
          <cell r="I862" t="str">
            <v>GSFL</v>
          </cell>
          <cell r="J862" t="str">
            <v>EH</v>
          </cell>
          <cell r="K862" t="str">
            <v>SP</v>
          </cell>
          <cell r="L862" t="str">
            <v>DT SEC</v>
          </cell>
          <cell r="M862" t="str">
            <v>DT PRI</v>
          </cell>
          <cell r="N862" t="str">
            <v>DP</v>
          </cell>
          <cell r="O862" t="str">
            <v>TT</v>
          </cell>
          <cell r="Q862" t="str">
            <v>OTHER</v>
          </cell>
        </row>
        <row r="863">
          <cell r="F863" t="str">
            <v>DISTRIBUTION</v>
          </cell>
          <cell r="G863" t="str">
            <v>RS</v>
          </cell>
          <cell r="H863" t="str">
            <v>SECONDARY</v>
          </cell>
          <cell r="I863" t="str">
            <v>SECONDARY</v>
          </cell>
          <cell r="J863" t="str">
            <v>SECONDARY</v>
          </cell>
          <cell r="K863" t="str">
            <v>SECONDARY</v>
          </cell>
          <cell r="L863" t="str">
            <v>SECONDARY</v>
          </cell>
          <cell r="M863" t="str">
            <v>PRIMARY</v>
          </cell>
          <cell r="N863" t="str">
            <v>PRIMARY</v>
          </cell>
          <cell r="O863" t="str">
            <v>TRANSMISSION</v>
          </cell>
          <cell r="P863" t="str">
            <v>LT</v>
          </cell>
          <cell r="Q863" t="str">
            <v>WATER</v>
          </cell>
          <cell r="R863" t="str">
            <v>TOTAL</v>
          </cell>
          <cell r="S863" t="str">
            <v>ALL</v>
          </cell>
        </row>
        <row r="864">
          <cell r="E864" t="str">
            <v>ALLO</v>
          </cell>
          <cell r="F864" t="str">
            <v>ENERGY</v>
          </cell>
          <cell r="G864" t="str">
            <v>RESIDENTIAL</v>
          </cell>
          <cell r="H864" t="str">
            <v>DISTRIBUTION</v>
          </cell>
          <cell r="I864" t="str">
            <v>DISTRIBUTION</v>
          </cell>
          <cell r="J864" t="str">
            <v>DISTRIBUTION</v>
          </cell>
          <cell r="K864" t="str">
            <v>DISTRIBUTION</v>
          </cell>
          <cell r="L864" t="str">
            <v>DISTRIBUTION</v>
          </cell>
          <cell r="M864" t="str">
            <v>DISTRIBUTION</v>
          </cell>
          <cell r="N864" t="str">
            <v>DISTRIBUTION</v>
          </cell>
          <cell r="O864" t="str">
            <v>TIME OF DAY</v>
          </cell>
          <cell r="P864" t="str">
            <v>LIGHTING</v>
          </cell>
          <cell r="Q864" t="str">
            <v>PUMPING</v>
          </cell>
          <cell r="R864" t="str">
            <v>AT ISSUE</v>
          </cell>
          <cell r="S864" t="str">
            <v>OTHER</v>
          </cell>
        </row>
        <row r="865">
          <cell r="E865">
            <v>1</v>
          </cell>
          <cell r="G865">
            <v>3</v>
          </cell>
          <cell r="H865">
            <v>4</v>
          </cell>
          <cell r="I865">
            <v>5</v>
          </cell>
          <cell r="J865">
            <v>6</v>
          </cell>
          <cell r="K865">
            <v>7</v>
          </cell>
          <cell r="L865">
            <v>8</v>
          </cell>
          <cell r="M865">
            <v>9</v>
          </cell>
          <cell r="N865">
            <v>10</v>
          </cell>
          <cell r="O865">
            <v>11</v>
          </cell>
          <cell r="P865">
            <v>12</v>
          </cell>
          <cell r="Q865">
            <v>13</v>
          </cell>
          <cell r="S865" t="str">
            <v xml:space="preserve"> </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K901</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69">
          <cell r="F869">
            <v>304312778</v>
          </cell>
          <cell r="G869">
            <v>120391018</v>
          </cell>
          <cell r="H869">
            <v>89967454</v>
          </cell>
          <cell r="I869">
            <v>589997</v>
          </cell>
          <cell r="J869">
            <v>623628</v>
          </cell>
          <cell r="K869">
            <v>28730</v>
          </cell>
          <cell r="L869">
            <v>45903624</v>
          </cell>
          <cell r="M869">
            <v>30722085</v>
          </cell>
          <cell r="N869">
            <v>926746</v>
          </cell>
          <cell r="O869">
            <v>13220511</v>
          </cell>
          <cell r="P869">
            <v>1889364</v>
          </cell>
          <cell r="Q869">
            <v>7414</v>
          </cell>
          <cell r="R869">
            <v>304270571</v>
          </cell>
          <cell r="S869">
            <v>42207</v>
          </cell>
        </row>
        <row r="870">
          <cell r="E870" t="str">
            <v>K902</v>
          </cell>
          <cell r="F870">
            <v>1</v>
          </cell>
          <cell r="G870">
            <v>0.39562000000000003</v>
          </cell>
          <cell r="H870">
            <v>0.295641394</v>
          </cell>
          <cell r="I870">
            <v>1.9387849999999999E-3</v>
          </cell>
          <cell r="J870">
            <v>2.0492990000000001E-3</v>
          </cell>
          <cell r="K870">
            <v>9.4408999999999997E-5</v>
          </cell>
          <cell r="L870">
            <v>0.15084356400000001</v>
          </cell>
          <cell r="M870">
            <v>0.100955619</v>
          </cell>
          <cell r="N870">
            <v>3.0453730000000001E-3</v>
          </cell>
          <cell r="O870">
            <v>4.3443824999999998E-2</v>
          </cell>
          <cell r="P870">
            <v>6.2086249999999997E-3</v>
          </cell>
          <cell r="Q870">
            <v>2.4363E-5</v>
          </cell>
          <cell r="R870">
            <v>0.99986525599999998</v>
          </cell>
          <cell r="S870">
            <v>1.3474400000001996E-4</v>
          </cell>
        </row>
        <row r="874">
          <cell r="E874" t="str">
            <v>P129</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row>
        <row r="875">
          <cell r="E875" t="str">
            <v>T129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PT29</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row>
        <row r="877">
          <cell r="E877" t="str">
            <v>D149</v>
          </cell>
          <cell r="F877">
            <v>1</v>
          </cell>
          <cell r="G877">
            <v>1</v>
          </cell>
          <cell r="H877">
            <v>0</v>
          </cell>
          <cell r="I877">
            <v>0</v>
          </cell>
          <cell r="J877">
            <v>0</v>
          </cell>
          <cell r="K877">
            <v>0</v>
          </cell>
          <cell r="L877">
            <v>0</v>
          </cell>
          <cell r="M877">
            <v>0</v>
          </cell>
          <cell r="N877">
            <v>0</v>
          </cell>
          <cell r="O877">
            <v>0</v>
          </cell>
          <cell r="P877">
            <v>0</v>
          </cell>
          <cell r="Q877">
            <v>0</v>
          </cell>
          <cell r="R877">
            <v>1</v>
          </cell>
          <cell r="S877">
            <v>0</v>
          </cell>
        </row>
        <row r="878">
          <cell r="E878" t="str">
            <v>TD29</v>
          </cell>
          <cell r="F878">
            <v>1</v>
          </cell>
          <cell r="G878">
            <v>1</v>
          </cell>
          <cell r="H878">
            <v>0</v>
          </cell>
          <cell r="I878">
            <v>0</v>
          </cell>
          <cell r="J878">
            <v>0</v>
          </cell>
          <cell r="K878">
            <v>0</v>
          </cell>
          <cell r="L878">
            <v>0</v>
          </cell>
          <cell r="M878">
            <v>0</v>
          </cell>
          <cell r="N878">
            <v>0</v>
          </cell>
          <cell r="O878">
            <v>0</v>
          </cell>
          <cell r="P878">
            <v>0</v>
          </cell>
          <cell r="Q878">
            <v>0</v>
          </cell>
          <cell r="R878">
            <v>1</v>
          </cell>
          <cell r="S878">
            <v>0</v>
          </cell>
        </row>
        <row r="879">
          <cell r="E879" t="str">
            <v>PD29</v>
          </cell>
          <cell r="F879">
            <v>1</v>
          </cell>
          <cell r="G879">
            <v>1</v>
          </cell>
          <cell r="H879">
            <v>0</v>
          </cell>
          <cell r="I879">
            <v>0</v>
          </cell>
          <cell r="J879">
            <v>0</v>
          </cell>
          <cell r="K879">
            <v>0</v>
          </cell>
          <cell r="L879">
            <v>0</v>
          </cell>
          <cell r="M879">
            <v>0</v>
          </cell>
          <cell r="N879">
            <v>0</v>
          </cell>
          <cell r="O879">
            <v>0</v>
          </cell>
          <cell r="P879">
            <v>0</v>
          </cell>
          <cell r="Q879">
            <v>0</v>
          </cell>
          <cell r="R879">
            <v>1</v>
          </cell>
          <cell r="S879">
            <v>0</v>
          </cell>
        </row>
        <row r="880">
          <cell r="E880" t="str">
            <v>G129</v>
          </cell>
          <cell r="F880">
            <v>1</v>
          </cell>
          <cell r="G880">
            <v>1</v>
          </cell>
          <cell r="H880">
            <v>0</v>
          </cell>
          <cell r="I880">
            <v>0</v>
          </cell>
          <cell r="J880">
            <v>0</v>
          </cell>
          <cell r="K880">
            <v>0</v>
          </cell>
          <cell r="L880">
            <v>0</v>
          </cell>
          <cell r="M880">
            <v>0</v>
          </cell>
          <cell r="N880">
            <v>0</v>
          </cell>
          <cell r="O880">
            <v>0</v>
          </cell>
          <cell r="P880">
            <v>0</v>
          </cell>
          <cell r="Q880">
            <v>0</v>
          </cell>
          <cell r="R880">
            <v>1</v>
          </cell>
          <cell r="S880">
            <v>0</v>
          </cell>
        </row>
        <row r="881">
          <cell r="E881" t="str">
            <v>C129</v>
          </cell>
          <cell r="F881">
            <v>1</v>
          </cell>
          <cell r="G881">
            <v>1</v>
          </cell>
          <cell r="H881">
            <v>0</v>
          </cell>
          <cell r="I881">
            <v>0</v>
          </cell>
          <cell r="J881">
            <v>0</v>
          </cell>
          <cell r="K881">
            <v>0</v>
          </cell>
          <cell r="L881">
            <v>0</v>
          </cell>
          <cell r="M881">
            <v>0</v>
          </cell>
          <cell r="N881">
            <v>0</v>
          </cell>
          <cell r="O881">
            <v>0</v>
          </cell>
          <cell r="P881">
            <v>0</v>
          </cell>
          <cell r="Q881">
            <v>0</v>
          </cell>
          <cell r="R881">
            <v>1</v>
          </cell>
          <cell r="S881">
            <v>0</v>
          </cell>
        </row>
        <row r="882">
          <cell r="E882" t="str">
            <v>GP19</v>
          </cell>
          <cell r="F882">
            <v>1</v>
          </cell>
          <cell r="G882">
            <v>1</v>
          </cell>
          <cell r="H882">
            <v>0</v>
          </cell>
          <cell r="I882">
            <v>0</v>
          </cell>
          <cell r="J882">
            <v>0</v>
          </cell>
          <cell r="K882">
            <v>0</v>
          </cell>
          <cell r="L882">
            <v>0</v>
          </cell>
          <cell r="M882">
            <v>0</v>
          </cell>
          <cell r="N882">
            <v>0</v>
          </cell>
          <cell r="O882">
            <v>0</v>
          </cell>
          <cell r="P882">
            <v>0</v>
          </cell>
          <cell r="Q882">
            <v>0</v>
          </cell>
          <cell r="R882">
            <v>1</v>
          </cell>
          <cell r="S882">
            <v>0</v>
          </cell>
        </row>
        <row r="883">
          <cell r="E883" t="str">
            <v>DR19</v>
          </cell>
          <cell r="F883">
            <v>1</v>
          </cell>
          <cell r="G883">
            <v>1</v>
          </cell>
          <cell r="H883">
            <v>0</v>
          </cell>
          <cell r="I883">
            <v>0</v>
          </cell>
          <cell r="J883">
            <v>0</v>
          </cell>
          <cell r="K883">
            <v>0</v>
          </cell>
          <cell r="L883">
            <v>0</v>
          </cell>
          <cell r="M883">
            <v>0</v>
          </cell>
          <cell r="N883">
            <v>0</v>
          </cell>
          <cell r="O883">
            <v>0</v>
          </cell>
          <cell r="P883">
            <v>0</v>
          </cell>
          <cell r="Q883">
            <v>0</v>
          </cell>
          <cell r="R883">
            <v>1</v>
          </cell>
          <cell r="S883">
            <v>0</v>
          </cell>
        </row>
        <row r="886">
          <cell r="E886" t="str">
            <v>P229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T229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PL49</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row>
        <row r="889">
          <cell r="E889" t="str">
            <v>D249</v>
          </cell>
          <cell r="F889">
            <v>1</v>
          </cell>
          <cell r="G889">
            <v>1</v>
          </cell>
          <cell r="H889">
            <v>0</v>
          </cell>
          <cell r="I889">
            <v>0</v>
          </cell>
          <cell r="J889">
            <v>0</v>
          </cell>
          <cell r="K889">
            <v>0</v>
          </cell>
          <cell r="L889">
            <v>0</v>
          </cell>
          <cell r="M889">
            <v>0</v>
          </cell>
          <cell r="N889">
            <v>0</v>
          </cell>
          <cell r="O889">
            <v>0</v>
          </cell>
          <cell r="P889">
            <v>0</v>
          </cell>
          <cell r="Q889">
            <v>0</v>
          </cell>
          <cell r="R889">
            <v>1</v>
          </cell>
          <cell r="S889">
            <v>0</v>
          </cell>
        </row>
        <row r="890">
          <cell r="E890" t="str">
            <v>NT29</v>
          </cell>
          <cell r="F890">
            <v>1</v>
          </cell>
          <cell r="G890">
            <v>1</v>
          </cell>
          <cell r="H890">
            <v>0</v>
          </cell>
          <cell r="I890">
            <v>0</v>
          </cell>
          <cell r="J890">
            <v>0</v>
          </cell>
          <cell r="K890">
            <v>0</v>
          </cell>
          <cell r="L890">
            <v>0</v>
          </cell>
          <cell r="M890">
            <v>0</v>
          </cell>
          <cell r="N890">
            <v>0</v>
          </cell>
          <cell r="O890">
            <v>0</v>
          </cell>
          <cell r="P890">
            <v>0</v>
          </cell>
          <cell r="Q890">
            <v>0</v>
          </cell>
          <cell r="R890">
            <v>1</v>
          </cell>
          <cell r="S890">
            <v>0</v>
          </cell>
        </row>
        <row r="891">
          <cell r="E891" t="str">
            <v>G229</v>
          </cell>
          <cell r="F891">
            <v>1</v>
          </cell>
          <cell r="G891">
            <v>1</v>
          </cell>
          <cell r="H891">
            <v>0</v>
          </cell>
          <cell r="I891">
            <v>0</v>
          </cell>
          <cell r="J891">
            <v>0</v>
          </cell>
          <cell r="K891">
            <v>0</v>
          </cell>
          <cell r="L891">
            <v>0</v>
          </cell>
          <cell r="M891">
            <v>0</v>
          </cell>
          <cell r="N891">
            <v>0</v>
          </cell>
          <cell r="O891">
            <v>0</v>
          </cell>
          <cell r="P891">
            <v>0</v>
          </cell>
          <cell r="Q891">
            <v>0</v>
          </cell>
          <cell r="R891">
            <v>1</v>
          </cell>
          <cell r="S891">
            <v>0</v>
          </cell>
        </row>
        <row r="892">
          <cell r="E892" t="str">
            <v>C229</v>
          </cell>
          <cell r="F892">
            <v>1</v>
          </cell>
          <cell r="G892">
            <v>1</v>
          </cell>
          <cell r="H892">
            <v>0</v>
          </cell>
          <cell r="I892">
            <v>0</v>
          </cell>
          <cell r="J892">
            <v>0</v>
          </cell>
          <cell r="K892">
            <v>0</v>
          </cell>
          <cell r="L892">
            <v>0</v>
          </cell>
          <cell r="M892">
            <v>0</v>
          </cell>
          <cell r="N892">
            <v>0</v>
          </cell>
          <cell r="O892">
            <v>0</v>
          </cell>
          <cell r="P892">
            <v>0</v>
          </cell>
          <cell r="Q892">
            <v>0</v>
          </cell>
          <cell r="R892">
            <v>1</v>
          </cell>
          <cell r="S892">
            <v>0</v>
          </cell>
        </row>
        <row r="893">
          <cell r="E893" t="str">
            <v>NP29</v>
          </cell>
          <cell r="F893">
            <v>1</v>
          </cell>
          <cell r="G893">
            <v>1</v>
          </cell>
          <cell r="H893">
            <v>0</v>
          </cell>
          <cell r="I893">
            <v>0</v>
          </cell>
          <cell r="J893">
            <v>0</v>
          </cell>
          <cell r="K893">
            <v>0</v>
          </cell>
          <cell r="L893">
            <v>0</v>
          </cell>
          <cell r="M893">
            <v>0</v>
          </cell>
          <cell r="N893">
            <v>0</v>
          </cell>
          <cell r="O893">
            <v>0</v>
          </cell>
          <cell r="P893">
            <v>0</v>
          </cell>
          <cell r="Q893">
            <v>0</v>
          </cell>
          <cell r="R893">
            <v>1</v>
          </cell>
          <cell r="S893">
            <v>0</v>
          </cell>
        </row>
        <row r="896">
          <cell r="E896" t="str">
            <v>W669</v>
          </cell>
          <cell r="F896">
            <v>1</v>
          </cell>
          <cell r="G896">
            <v>1</v>
          </cell>
          <cell r="H896">
            <v>0</v>
          </cell>
          <cell r="I896">
            <v>0</v>
          </cell>
          <cell r="J896">
            <v>0</v>
          </cell>
          <cell r="K896">
            <v>0</v>
          </cell>
          <cell r="L896">
            <v>0</v>
          </cell>
          <cell r="M896">
            <v>0</v>
          </cell>
          <cell r="N896">
            <v>0</v>
          </cell>
          <cell r="O896">
            <v>0</v>
          </cell>
          <cell r="P896">
            <v>0</v>
          </cell>
          <cell r="Q896">
            <v>0</v>
          </cell>
          <cell r="R896">
            <v>1</v>
          </cell>
          <cell r="S896">
            <v>0</v>
          </cell>
        </row>
        <row r="897">
          <cell r="E897" t="str">
            <v>W689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W719</v>
          </cell>
          <cell r="F898">
            <v>1</v>
          </cell>
          <cell r="G898">
            <v>1</v>
          </cell>
          <cell r="H898">
            <v>0</v>
          </cell>
          <cell r="I898">
            <v>0</v>
          </cell>
          <cell r="J898">
            <v>0</v>
          </cell>
          <cell r="K898">
            <v>0</v>
          </cell>
          <cell r="L898">
            <v>0</v>
          </cell>
          <cell r="M898">
            <v>0</v>
          </cell>
          <cell r="N898">
            <v>0</v>
          </cell>
          <cell r="O898">
            <v>0</v>
          </cell>
          <cell r="P898">
            <v>0</v>
          </cell>
          <cell r="Q898">
            <v>0</v>
          </cell>
          <cell r="R898">
            <v>1</v>
          </cell>
          <cell r="S898">
            <v>0</v>
          </cell>
        </row>
        <row r="899">
          <cell r="E899" t="str">
            <v>W749</v>
          </cell>
          <cell r="F899">
            <v>1</v>
          </cell>
          <cell r="G899">
            <v>1</v>
          </cell>
          <cell r="H899">
            <v>0</v>
          </cell>
          <cell r="I899">
            <v>0</v>
          </cell>
          <cell r="J899">
            <v>0</v>
          </cell>
          <cell r="K899">
            <v>0</v>
          </cell>
          <cell r="L899">
            <v>0</v>
          </cell>
          <cell r="M899">
            <v>0</v>
          </cell>
          <cell r="N899">
            <v>0</v>
          </cell>
          <cell r="O899">
            <v>0</v>
          </cell>
          <cell r="P899">
            <v>0</v>
          </cell>
          <cell r="Q899">
            <v>0</v>
          </cell>
          <cell r="R899">
            <v>1</v>
          </cell>
          <cell r="S899">
            <v>0</v>
          </cell>
        </row>
        <row r="900">
          <cell r="E900" t="str">
            <v>WC79</v>
          </cell>
          <cell r="F900">
            <v>1</v>
          </cell>
          <cell r="G900">
            <v>1</v>
          </cell>
          <cell r="H900">
            <v>0</v>
          </cell>
          <cell r="I900">
            <v>0</v>
          </cell>
          <cell r="J900">
            <v>0</v>
          </cell>
          <cell r="K900">
            <v>0</v>
          </cell>
          <cell r="L900">
            <v>0</v>
          </cell>
          <cell r="M900">
            <v>0</v>
          </cell>
          <cell r="N900">
            <v>0</v>
          </cell>
          <cell r="O900">
            <v>0</v>
          </cell>
          <cell r="P900">
            <v>0</v>
          </cell>
          <cell r="Q900">
            <v>0</v>
          </cell>
          <cell r="R900">
            <v>1</v>
          </cell>
          <cell r="S900">
            <v>0</v>
          </cell>
        </row>
        <row r="903">
          <cell r="E903" t="str">
            <v>RB29</v>
          </cell>
          <cell r="F903">
            <v>1</v>
          </cell>
          <cell r="G903">
            <v>1</v>
          </cell>
          <cell r="H903">
            <v>0</v>
          </cell>
          <cell r="I903">
            <v>0</v>
          </cell>
          <cell r="J903">
            <v>0</v>
          </cell>
          <cell r="K903">
            <v>0</v>
          </cell>
          <cell r="L903">
            <v>0</v>
          </cell>
          <cell r="M903">
            <v>0</v>
          </cell>
          <cell r="N903">
            <v>0</v>
          </cell>
          <cell r="O903">
            <v>0</v>
          </cell>
          <cell r="P903">
            <v>0</v>
          </cell>
          <cell r="Q903">
            <v>0</v>
          </cell>
          <cell r="R903">
            <v>1</v>
          </cell>
          <cell r="S903">
            <v>0</v>
          </cell>
        </row>
        <row r="904">
          <cell r="E904" t="str">
            <v>RB99</v>
          </cell>
          <cell r="F904">
            <v>1</v>
          </cell>
          <cell r="G904">
            <v>1</v>
          </cell>
          <cell r="H904">
            <v>0</v>
          </cell>
          <cell r="I904">
            <v>0</v>
          </cell>
          <cell r="J904">
            <v>0</v>
          </cell>
          <cell r="K904">
            <v>0</v>
          </cell>
          <cell r="L904">
            <v>0</v>
          </cell>
          <cell r="M904">
            <v>0</v>
          </cell>
          <cell r="N904">
            <v>0</v>
          </cell>
          <cell r="O904">
            <v>0</v>
          </cell>
          <cell r="P904">
            <v>0</v>
          </cell>
          <cell r="Q904">
            <v>0</v>
          </cell>
          <cell r="R904">
            <v>1</v>
          </cell>
          <cell r="S904">
            <v>0</v>
          </cell>
        </row>
        <row r="905">
          <cell r="E905" t="str">
            <v>CW29</v>
          </cell>
          <cell r="F905">
            <v>1</v>
          </cell>
          <cell r="G905">
            <v>1</v>
          </cell>
          <cell r="H905">
            <v>0</v>
          </cell>
          <cell r="I905">
            <v>0</v>
          </cell>
          <cell r="J905">
            <v>0</v>
          </cell>
          <cell r="K905">
            <v>0</v>
          </cell>
          <cell r="L905">
            <v>0</v>
          </cell>
          <cell r="M905">
            <v>0</v>
          </cell>
          <cell r="N905">
            <v>0</v>
          </cell>
          <cell r="O905">
            <v>0</v>
          </cell>
          <cell r="P905">
            <v>0</v>
          </cell>
          <cell r="Q905">
            <v>0</v>
          </cell>
          <cell r="R905">
            <v>1</v>
          </cell>
          <cell r="S905">
            <v>0</v>
          </cell>
        </row>
        <row r="907">
          <cell r="R907" t="str">
            <v>FR-16(7)(v)-12</v>
          </cell>
        </row>
        <row r="908">
          <cell r="R908" t="str">
            <v>WITNESS RESPONSIBLE:</v>
          </cell>
        </row>
        <row r="909">
          <cell r="R909" t="str">
            <v>JAMES E. ZIOLKOWSKI</v>
          </cell>
        </row>
        <row r="910">
          <cell r="R910" t="str">
            <v>PAGE 18 OF 18</v>
          </cell>
        </row>
        <row r="913">
          <cell r="F913" t="str">
            <v>TOTAL</v>
          </cell>
          <cell r="H913" t="str">
            <v>DS</v>
          </cell>
          <cell r="I913" t="str">
            <v>GSFL</v>
          </cell>
          <cell r="J913" t="str">
            <v>EH</v>
          </cell>
          <cell r="K913" t="str">
            <v>SP</v>
          </cell>
          <cell r="L913" t="str">
            <v>DT SEC</v>
          </cell>
          <cell r="M913" t="str">
            <v>DT PRI</v>
          </cell>
          <cell r="N913" t="str">
            <v>DP</v>
          </cell>
          <cell r="O913" t="str">
            <v>TT</v>
          </cell>
          <cell r="Q913" t="str">
            <v>OTHER</v>
          </cell>
        </row>
        <row r="914">
          <cell r="F914" t="str">
            <v>DISTRIBUTION</v>
          </cell>
          <cell r="G914" t="str">
            <v>RS</v>
          </cell>
          <cell r="H914" t="str">
            <v>SECONDARY</v>
          </cell>
          <cell r="I914" t="str">
            <v>SECONDARY</v>
          </cell>
          <cell r="J914" t="str">
            <v>SECONDARY</v>
          </cell>
          <cell r="K914" t="str">
            <v>SECONDARY</v>
          </cell>
          <cell r="L914" t="str">
            <v>SECONDARY</v>
          </cell>
          <cell r="M914" t="str">
            <v>PRIMARY</v>
          </cell>
          <cell r="N914" t="str">
            <v>PRIMARY</v>
          </cell>
          <cell r="O914" t="str">
            <v>TRANSMISSION</v>
          </cell>
          <cell r="P914" t="str">
            <v>LT</v>
          </cell>
          <cell r="Q914" t="str">
            <v>WATER</v>
          </cell>
          <cell r="R914" t="str">
            <v>TOTAL</v>
          </cell>
          <cell r="S914" t="str">
            <v>ALL</v>
          </cell>
        </row>
        <row r="915">
          <cell r="E915" t="str">
            <v>ALLO</v>
          </cell>
          <cell r="F915" t="str">
            <v>ENERGY</v>
          </cell>
          <cell r="G915" t="str">
            <v>RESIDENTIAL</v>
          </cell>
          <cell r="H915" t="str">
            <v>DISTRIBUTION</v>
          </cell>
          <cell r="I915" t="str">
            <v>DISTRIBUTION</v>
          </cell>
          <cell r="J915" t="str">
            <v>DISTRIBUTION</v>
          </cell>
          <cell r="K915" t="str">
            <v>DISTRIBUTION</v>
          </cell>
          <cell r="L915" t="str">
            <v>DISTRIBUTION</v>
          </cell>
          <cell r="M915" t="str">
            <v>DISTRIBUTION</v>
          </cell>
          <cell r="N915" t="str">
            <v>DISTRIBUTION</v>
          </cell>
          <cell r="O915" t="str">
            <v>TIME OF DAY</v>
          </cell>
          <cell r="P915" t="str">
            <v>LIGHTING</v>
          </cell>
          <cell r="Q915" t="str">
            <v>PUMPING</v>
          </cell>
          <cell r="R915" t="str">
            <v>AT ISSUE</v>
          </cell>
          <cell r="S915" t="str">
            <v>OTHER</v>
          </cell>
        </row>
        <row r="916">
          <cell r="E916">
            <v>1</v>
          </cell>
          <cell r="G916">
            <v>3</v>
          </cell>
          <cell r="H916">
            <v>4</v>
          </cell>
          <cell r="I916">
            <v>5</v>
          </cell>
          <cell r="J916">
            <v>6</v>
          </cell>
          <cell r="K916">
            <v>7</v>
          </cell>
          <cell r="L916">
            <v>8</v>
          </cell>
          <cell r="M916">
            <v>9</v>
          </cell>
          <cell r="N916">
            <v>10</v>
          </cell>
          <cell r="O916">
            <v>11</v>
          </cell>
          <cell r="P916">
            <v>12</v>
          </cell>
          <cell r="Q916">
            <v>13</v>
          </cell>
          <cell r="S916" t="str">
            <v xml:space="preserve"> </v>
          </cell>
        </row>
        <row r="918">
          <cell r="E918" t="str">
            <v>P349</v>
          </cell>
          <cell r="F918">
            <v>1</v>
          </cell>
          <cell r="G918">
            <v>0</v>
          </cell>
          <cell r="H918">
            <v>0</v>
          </cell>
          <cell r="I918">
            <v>0</v>
          </cell>
          <cell r="J918">
            <v>0</v>
          </cell>
          <cell r="K918">
            <v>0</v>
          </cell>
          <cell r="L918">
            <v>0</v>
          </cell>
          <cell r="M918">
            <v>0</v>
          </cell>
          <cell r="N918">
            <v>0</v>
          </cell>
          <cell r="O918">
            <v>0</v>
          </cell>
          <cell r="P918">
            <v>0</v>
          </cell>
          <cell r="Q918">
            <v>0</v>
          </cell>
          <cell r="R918">
            <v>0</v>
          </cell>
          <cell r="S918">
            <v>1</v>
          </cell>
        </row>
        <row r="919">
          <cell r="E919" t="str">
            <v>E349</v>
          </cell>
          <cell r="F919">
            <v>1</v>
          </cell>
          <cell r="G919">
            <v>0</v>
          </cell>
          <cell r="H919">
            <v>0</v>
          </cell>
          <cell r="I919">
            <v>0</v>
          </cell>
          <cell r="J919">
            <v>0</v>
          </cell>
          <cell r="K919">
            <v>0</v>
          </cell>
          <cell r="L919">
            <v>0</v>
          </cell>
          <cell r="M919">
            <v>0</v>
          </cell>
          <cell r="N919">
            <v>0</v>
          </cell>
          <cell r="O919">
            <v>0</v>
          </cell>
          <cell r="P919">
            <v>0</v>
          </cell>
          <cell r="Q919">
            <v>0</v>
          </cell>
          <cell r="R919">
            <v>0</v>
          </cell>
          <cell r="S919">
            <v>1</v>
          </cell>
        </row>
        <row r="920">
          <cell r="E920" t="str">
            <v>P459</v>
          </cell>
          <cell r="F920">
            <v>1</v>
          </cell>
          <cell r="G920">
            <v>0</v>
          </cell>
          <cell r="H920">
            <v>0</v>
          </cell>
          <cell r="I920">
            <v>0</v>
          </cell>
          <cell r="J920">
            <v>0</v>
          </cell>
          <cell r="K920">
            <v>0</v>
          </cell>
          <cell r="L920">
            <v>0</v>
          </cell>
          <cell r="M920">
            <v>0</v>
          </cell>
          <cell r="N920">
            <v>0</v>
          </cell>
          <cell r="O920">
            <v>0</v>
          </cell>
          <cell r="P920">
            <v>0</v>
          </cell>
          <cell r="Q920">
            <v>0</v>
          </cell>
          <cell r="R920">
            <v>0</v>
          </cell>
          <cell r="S920">
            <v>1</v>
          </cell>
        </row>
        <row r="921">
          <cell r="E921" t="str">
            <v>T349</v>
          </cell>
          <cell r="F921">
            <v>1</v>
          </cell>
          <cell r="G921">
            <v>0</v>
          </cell>
          <cell r="H921">
            <v>0</v>
          </cell>
          <cell r="I921">
            <v>0</v>
          </cell>
          <cell r="J921">
            <v>0</v>
          </cell>
          <cell r="K921">
            <v>0</v>
          </cell>
          <cell r="L921">
            <v>0</v>
          </cell>
          <cell r="M921">
            <v>0</v>
          </cell>
          <cell r="N921">
            <v>0</v>
          </cell>
          <cell r="O921">
            <v>0</v>
          </cell>
          <cell r="P921">
            <v>0</v>
          </cell>
          <cell r="Q921">
            <v>0</v>
          </cell>
          <cell r="R921">
            <v>0</v>
          </cell>
          <cell r="S921">
            <v>1</v>
          </cell>
        </row>
        <row r="922">
          <cell r="E922" t="str">
            <v>D349</v>
          </cell>
          <cell r="F922">
            <v>1</v>
          </cell>
          <cell r="G922">
            <v>0</v>
          </cell>
          <cell r="H922">
            <v>0</v>
          </cell>
          <cell r="I922">
            <v>0</v>
          </cell>
          <cell r="J922">
            <v>0</v>
          </cell>
          <cell r="K922">
            <v>0</v>
          </cell>
          <cell r="L922">
            <v>0</v>
          </cell>
          <cell r="M922">
            <v>0</v>
          </cell>
          <cell r="N922">
            <v>0</v>
          </cell>
          <cell r="O922">
            <v>0</v>
          </cell>
          <cell r="P922">
            <v>0</v>
          </cell>
          <cell r="Q922">
            <v>0</v>
          </cell>
          <cell r="R922">
            <v>0</v>
          </cell>
          <cell r="S922">
            <v>1</v>
          </cell>
        </row>
        <row r="923">
          <cell r="E923" t="str">
            <v>C311</v>
          </cell>
          <cell r="F923">
            <v>1</v>
          </cell>
          <cell r="G923">
            <v>0</v>
          </cell>
          <cell r="H923">
            <v>0</v>
          </cell>
          <cell r="I923">
            <v>0</v>
          </cell>
          <cell r="J923">
            <v>0</v>
          </cell>
          <cell r="K923">
            <v>0</v>
          </cell>
          <cell r="L923">
            <v>0</v>
          </cell>
          <cell r="M923">
            <v>0</v>
          </cell>
          <cell r="N923">
            <v>0</v>
          </cell>
          <cell r="O923">
            <v>0</v>
          </cell>
          <cell r="P923">
            <v>0</v>
          </cell>
          <cell r="Q923">
            <v>0</v>
          </cell>
          <cell r="R923">
            <v>0</v>
          </cell>
          <cell r="S923">
            <v>1</v>
          </cell>
        </row>
        <row r="924">
          <cell r="E924" t="str">
            <v>C319</v>
          </cell>
          <cell r="F924">
            <v>1</v>
          </cell>
          <cell r="G924">
            <v>0</v>
          </cell>
          <cell r="H924">
            <v>0</v>
          </cell>
          <cell r="I924">
            <v>0</v>
          </cell>
          <cell r="J924">
            <v>0</v>
          </cell>
          <cell r="K924">
            <v>0</v>
          </cell>
          <cell r="L924">
            <v>0</v>
          </cell>
          <cell r="M924">
            <v>0</v>
          </cell>
          <cell r="N924">
            <v>0</v>
          </cell>
          <cell r="O924">
            <v>0</v>
          </cell>
          <cell r="P924">
            <v>0</v>
          </cell>
          <cell r="Q924">
            <v>0</v>
          </cell>
          <cell r="R924">
            <v>0</v>
          </cell>
          <cell r="S924">
            <v>1</v>
          </cell>
        </row>
        <row r="925">
          <cell r="E925" t="str">
            <v>C331</v>
          </cell>
          <cell r="F925">
            <v>1</v>
          </cell>
          <cell r="G925">
            <v>0</v>
          </cell>
          <cell r="H925">
            <v>0</v>
          </cell>
          <cell r="I925">
            <v>0</v>
          </cell>
          <cell r="J925">
            <v>0</v>
          </cell>
          <cell r="K925">
            <v>0</v>
          </cell>
          <cell r="L925">
            <v>0</v>
          </cell>
          <cell r="M925">
            <v>0</v>
          </cell>
          <cell r="N925">
            <v>0</v>
          </cell>
          <cell r="O925">
            <v>0</v>
          </cell>
          <cell r="P925">
            <v>0</v>
          </cell>
          <cell r="Q925">
            <v>0</v>
          </cell>
          <cell r="R925">
            <v>0</v>
          </cell>
          <cell r="S925">
            <v>1</v>
          </cell>
        </row>
        <row r="926">
          <cell r="E926" t="str">
            <v>S319</v>
          </cell>
          <cell r="F926">
            <v>1</v>
          </cell>
          <cell r="G926">
            <v>0</v>
          </cell>
          <cell r="H926">
            <v>0</v>
          </cell>
          <cell r="I926">
            <v>0</v>
          </cell>
          <cell r="J926">
            <v>0</v>
          </cell>
          <cell r="K926">
            <v>0</v>
          </cell>
          <cell r="L926">
            <v>0</v>
          </cell>
          <cell r="M926">
            <v>0</v>
          </cell>
          <cell r="N926">
            <v>0</v>
          </cell>
          <cell r="O926">
            <v>0</v>
          </cell>
          <cell r="P926">
            <v>0</v>
          </cell>
          <cell r="Q926">
            <v>0</v>
          </cell>
          <cell r="R926">
            <v>0</v>
          </cell>
          <cell r="S926">
            <v>1</v>
          </cell>
        </row>
        <row r="927">
          <cell r="E927" t="str">
            <v>OM39</v>
          </cell>
          <cell r="F927">
            <v>1</v>
          </cell>
          <cell r="G927">
            <v>0</v>
          </cell>
          <cell r="H927">
            <v>0</v>
          </cell>
          <cell r="I927">
            <v>0</v>
          </cell>
          <cell r="J927">
            <v>0</v>
          </cell>
          <cell r="K927">
            <v>0</v>
          </cell>
          <cell r="L927">
            <v>0</v>
          </cell>
          <cell r="M927">
            <v>0</v>
          </cell>
          <cell r="N927">
            <v>0</v>
          </cell>
          <cell r="O927">
            <v>0</v>
          </cell>
          <cell r="P927">
            <v>0</v>
          </cell>
          <cell r="Q927">
            <v>0</v>
          </cell>
          <cell r="R927">
            <v>0</v>
          </cell>
          <cell r="S927">
            <v>1</v>
          </cell>
        </row>
        <row r="930">
          <cell r="E930" t="str">
            <v>A300</v>
          </cell>
          <cell r="F930">
            <v>1</v>
          </cell>
          <cell r="G930">
            <v>0</v>
          </cell>
          <cell r="H930">
            <v>0</v>
          </cell>
          <cell r="I930">
            <v>0</v>
          </cell>
          <cell r="J930">
            <v>0</v>
          </cell>
          <cell r="K930">
            <v>0</v>
          </cell>
          <cell r="L930">
            <v>0</v>
          </cell>
          <cell r="M930">
            <v>0</v>
          </cell>
          <cell r="N930">
            <v>0</v>
          </cell>
          <cell r="O930">
            <v>0</v>
          </cell>
          <cell r="P930">
            <v>0</v>
          </cell>
          <cell r="Q930">
            <v>0</v>
          </cell>
          <cell r="R930">
            <v>0</v>
          </cell>
          <cell r="S930">
            <v>1</v>
          </cell>
        </row>
        <row r="931">
          <cell r="E931" t="str">
            <v>A302</v>
          </cell>
          <cell r="F931">
            <v>1</v>
          </cell>
          <cell r="G931">
            <v>0</v>
          </cell>
          <cell r="H931">
            <v>0</v>
          </cell>
          <cell r="I931">
            <v>0</v>
          </cell>
          <cell r="J931">
            <v>0</v>
          </cell>
          <cell r="K931">
            <v>0</v>
          </cell>
          <cell r="L931">
            <v>0</v>
          </cell>
          <cell r="M931">
            <v>0</v>
          </cell>
          <cell r="N931">
            <v>0</v>
          </cell>
          <cell r="O931">
            <v>0</v>
          </cell>
          <cell r="P931">
            <v>0</v>
          </cell>
          <cell r="Q931">
            <v>0</v>
          </cell>
          <cell r="R931">
            <v>0</v>
          </cell>
          <cell r="S931">
            <v>1</v>
          </cell>
        </row>
        <row r="932">
          <cell r="E932" t="str">
            <v>A304</v>
          </cell>
          <cell r="F932">
            <v>1</v>
          </cell>
          <cell r="G932">
            <v>0</v>
          </cell>
          <cell r="H932">
            <v>0</v>
          </cell>
          <cell r="I932">
            <v>0</v>
          </cell>
          <cell r="J932">
            <v>0</v>
          </cell>
          <cell r="K932">
            <v>0</v>
          </cell>
          <cell r="L932">
            <v>0</v>
          </cell>
          <cell r="M932">
            <v>0</v>
          </cell>
          <cell r="N932">
            <v>0</v>
          </cell>
          <cell r="O932">
            <v>0</v>
          </cell>
          <cell r="P932">
            <v>0</v>
          </cell>
          <cell r="Q932">
            <v>0</v>
          </cell>
          <cell r="R932">
            <v>0</v>
          </cell>
          <cell r="S932">
            <v>1</v>
          </cell>
        </row>
        <row r="933">
          <cell r="E933" t="str">
            <v>A306</v>
          </cell>
          <cell r="F933">
            <v>1</v>
          </cell>
          <cell r="G933">
            <v>0</v>
          </cell>
          <cell r="H933">
            <v>0</v>
          </cell>
          <cell r="I933">
            <v>0</v>
          </cell>
          <cell r="J933">
            <v>0</v>
          </cell>
          <cell r="K933">
            <v>0</v>
          </cell>
          <cell r="L933">
            <v>0</v>
          </cell>
          <cell r="M933">
            <v>0</v>
          </cell>
          <cell r="N933">
            <v>0</v>
          </cell>
          <cell r="O933">
            <v>0</v>
          </cell>
          <cell r="P933">
            <v>0</v>
          </cell>
          <cell r="Q933">
            <v>0</v>
          </cell>
          <cell r="R933">
            <v>0</v>
          </cell>
          <cell r="S933">
            <v>1</v>
          </cell>
        </row>
        <row r="934">
          <cell r="E934" t="str">
            <v>A308</v>
          </cell>
          <cell r="F934">
            <v>1</v>
          </cell>
          <cell r="G934">
            <v>0</v>
          </cell>
          <cell r="H934">
            <v>0</v>
          </cell>
          <cell r="I934">
            <v>0</v>
          </cell>
          <cell r="J934">
            <v>0</v>
          </cell>
          <cell r="K934">
            <v>0</v>
          </cell>
          <cell r="L934">
            <v>0</v>
          </cell>
          <cell r="M934">
            <v>0</v>
          </cell>
          <cell r="N934">
            <v>0</v>
          </cell>
          <cell r="O934">
            <v>0</v>
          </cell>
          <cell r="P934">
            <v>0</v>
          </cell>
          <cell r="Q934">
            <v>0</v>
          </cell>
          <cell r="R934">
            <v>0</v>
          </cell>
          <cell r="S934">
            <v>1</v>
          </cell>
        </row>
        <row r="935">
          <cell r="E935" t="str">
            <v>A310</v>
          </cell>
          <cell r="F935">
            <v>1</v>
          </cell>
          <cell r="G935">
            <v>0</v>
          </cell>
          <cell r="H935">
            <v>0</v>
          </cell>
          <cell r="I935">
            <v>0</v>
          </cell>
          <cell r="J935">
            <v>0</v>
          </cell>
          <cell r="K935">
            <v>0</v>
          </cell>
          <cell r="L935">
            <v>0</v>
          </cell>
          <cell r="M935">
            <v>0</v>
          </cell>
          <cell r="N935">
            <v>0</v>
          </cell>
          <cell r="O935">
            <v>0</v>
          </cell>
          <cell r="P935">
            <v>0</v>
          </cell>
          <cell r="Q935">
            <v>0</v>
          </cell>
          <cell r="R935">
            <v>0</v>
          </cell>
          <cell r="S935">
            <v>1</v>
          </cell>
        </row>
        <row r="936">
          <cell r="E936" t="str">
            <v>A312</v>
          </cell>
          <cell r="F936">
            <v>1</v>
          </cell>
          <cell r="G936">
            <v>0</v>
          </cell>
          <cell r="H936">
            <v>0</v>
          </cell>
          <cell r="I936">
            <v>0</v>
          </cell>
          <cell r="J936">
            <v>0</v>
          </cell>
          <cell r="K936">
            <v>0</v>
          </cell>
          <cell r="L936">
            <v>0</v>
          </cell>
          <cell r="M936">
            <v>0</v>
          </cell>
          <cell r="N936">
            <v>0</v>
          </cell>
          <cell r="O936">
            <v>0</v>
          </cell>
          <cell r="P936">
            <v>0</v>
          </cell>
          <cell r="Q936">
            <v>0</v>
          </cell>
          <cell r="R936">
            <v>0</v>
          </cell>
          <cell r="S936">
            <v>1</v>
          </cell>
        </row>
        <row r="937">
          <cell r="E937" t="str">
            <v>A315</v>
          </cell>
          <cell r="F937">
            <v>1</v>
          </cell>
          <cell r="G937">
            <v>0</v>
          </cell>
          <cell r="H937">
            <v>0</v>
          </cell>
          <cell r="I937">
            <v>0</v>
          </cell>
          <cell r="J937">
            <v>0</v>
          </cell>
          <cell r="K937">
            <v>0</v>
          </cell>
          <cell r="L937">
            <v>0</v>
          </cell>
          <cell r="M937">
            <v>0</v>
          </cell>
          <cell r="N937">
            <v>0</v>
          </cell>
          <cell r="O937">
            <v>0</v>
          </cell>
          <cell r="P937">
            <v>0</v>
          </cell>
          <cell r="Q937">
            <v>0</v>
          </cell>
          <cell r="R937">
            <v>0</v>
          </cell>
          <cell r="S937">
            <v>1</v>
          </cell>
        </row>
        <row r="938">
          <cell r="E938" t="str">
            <v>A357</v>
          </cell>
          <cell r="F938">
            <v>1</v>
          </cell>
          <cell r="G938">
            <v>0</v>
          </cell>
          <cell r="H938">
            <v>0</v>
          </cell>
          <cell r="I938">
            <v>0</v>
          </cell>
          <cell r="J938">
            <v>0</v>
          </cell>
          <cell r="K938">
            <v>0</v>
          </cell>
          <cell r="L938">
            <v>0</v>
          </cell>
          <cell r="M938">
            <v>0</v>
          </cell>
          <cell r="N938">
            <v>0</v>
          </cell>
          <cell r="O938">
            <v>0</v>
          </cell>
          <cell r="P938">
            <v>0</v>
          </cell>
          <cell r="Q938">
            <v>0</v>
          </cell>
          <cell r="R938">
            <v>0</v>
          </cell>
          <cell r="S938">
            <v>1</v>
          </cell>
        </row>
        <row r="941">
          <cell r="E941" t="str">
            <v>P489</v>
          </cell>
          <cell r="F941">
            <v>1</v>
          </cell>
          <cell r="G941">
            <v>0</v>
          </cell>
          <cell r="H941">
            <v>0</v>
          </cell>
          <cell r="I941">
            <v>0</v>
          </cell>
          <cell r="J941">
            <v>0</v>
          </cell>
          <cell r="K941">
            <v>0</v>
          </cell>
          <cell r="L941">
            <v>0</v>
          </cell>
          <cell r="M941">
            <v>0</v>
          </cell>
          <cell r="N941">
            <v>0</v>
          </cell>
          <cell r="O941">
            <v>0</v>
          </cell>
          <cell r="P941">
            <v>0</v>
          </cell>
          <cell r="Q941">
            <v>0</v>
          </cell>
          <cell r="R941">
            <v>0</v>
          </cell>
          <cell r="S941">
            <v>1</v>
          </cell>
        </row>
        <row r="942">
          <cell r="E942" t="str">
            <v>T489</v>
          </cell>
          <cell r="F942">
            <v>1</v>
          </cell>
          <cell r="G942">
            <v>0</v>
          </cell>
          <cell r="H942">
            <v>0</v>
          </cell>
          <cell r="I942">
            <v>0</v>
          </cell>
          <cell r="J942">
            <v>0</v>
          </cell>
          <cell r="K942">
            <v>0</v>
          </cell>
          <cell r="L942">
            <v>0</v>
          </cell>
          <cell r="M942">
            <v>0</v>
          </cell>
          <cell r="N942">
            <v>0</v>
          </cell>
          <cell r="O942">
            <v>0</v>
          </cell>
          <cell r="P942">
            <v>0</v>
          </cell>
          <cell r="Q942">
            <v>0</v>
          </cell>
          <cell r="R942">
            <v>0</v>
          </cell>
          <cell r="S942">
            <v>1</v>
          </cell>
        </row>
        <row r="943">
          <cell r="E943" t="str">
            <v>D489</v>
          </cell>
          <cell r="F943">
            <v>1</v>
          </cell>
          <cell r="G943">
            <v>0</v>
          </cell>
          <cell r="H943">
            <v>0</v>
          </cell>
          <cell r="I943">
            <v>0</v>
          </cell>
          <cell r="J943">
            <v>0</v>
          </cell>
          <cell r="K943">
            <v>0</v>
          </cell>
          <cell r="L943">
            <v>0</v>
          </cell>
          <cell r="M943">
            <v>0</v>
          </cell>
          <cell r="N943">
            <v>0</v>
          </cell>
          <cell r="O943">
            <v>0</v>
          </cell>
          <cell r="P943">
            <v>0</v>
          </cell>
          <cell r="Q943">
            <v>0</v>
          </cell>
          <cell r="R943">
            <v>0</v>
          </cell>
          <cell r="S943">
            <v>1</v>
          </cell>
        </row>
        <row r="944">
          <cell r="E944" t="str">
            <v>G489</v>
          </cell>
          <cell r="F944">
            <v>1</v>
          </cell>
          <cell r="G944">
            <v>0</v>
          </cell>
          <cell r="H944">
            <v>0</v>
          </cell>
          <cell r="I944">
            <v>0</v>
          </cell>
          <cell r="J944">
            <v>0</v>
          </cell>
          <cell r="K944">
            <v>0</v>
          </cell>
          <cell r="L944">
            <v>0</v>
          </cell>
          <cell r="M944">
            <v>0</v>
          </cell>
          <cell r="N944">
            <v>0</v>
          </cell>
          <cell r="O944">
            <v>0</v>
          </cell>
          <cell r="P944">
            <v>0</v>
          </cell>
          <cell r="Q944">
            <v>0</v>
          </cell>
          <cell r="R944">
            <v>0</v>
          </cell>
          <cell r="S944">
            <v>1</v>
          </cell>
        </row>
        <row r="945">
          <cell r="E945" t="str">
            <v>C489</v>
          </cell>
          <cell r="F945">
            <v>1</v>
          </cell>
          <cell r="G945">
            <v>0</v>
          </cell>
          <cell r="H945">
            <v>0</v>
          </cell>
          <cell r="I945">
            <v>0</v>
          </cell>
          <cell r="J945">
            <v>0</v>
          </cell>
          <cell r="K945">
            <v>0</v>
          </cell>
          <cell r="L945">
            <v>0</v>
          </cell>
          <cell r="M945">
            <v>0</v>
          </cell>
          <cell r="N945">
            <v>0</v>
          </cell>
          <cell r="O945">
            <v>0</v>
          </cell>
          <cell r="P945">
            <v>0</v>
          </cell>
          <cell r="Q945">
            <v>0</v>
          </cell>
          <cell r="R945">
            <v>0</v>
          </cell>
          <cell r="S945">
            <v>1</v>
          </cell>
        </row>
        <row r="946">
          <cell r="E946" t="str">
            <v>DE49</v>
          </cell>
          <cell r="F946">
            <v>1</v>
          </cell>
          <cell r="G946">
            <v>0</v>
          </cell>
          <cell r="H946">
            <v>0</v>
          </cell>
          <cell r="I946">
            <v>0</v>
          </cell>
          <cell r="J946">
            <v>0</v>
          </cell>
          <cell r="K946">
            <v>0</v>
          </cell>
          <cell r="L946">
            <v>0</v>
          </cell>
          <cell r="M946">
            <v>0</v>
          </cell>
          <cell r="N946">
            <v>0</v>
          </cell>
          <cell r="O946">
            <v>0</v>
          </cell>
          <cell r="P946">
            <v>0</v>
          </cell>
          <cell r="Q946">
            <v>0</v>
          </cell>
          <cell r="R946">
            <v>0</v>
          </cell>
          <cell r="S946">
            <v>1</v>
          </cell>
        </row>
        <row r="949">
          <cell r="E949" t="str">
            <v>L529</v>
          </cell>
          <cell r="F949">
            <v>1</v>
          </cell>
          <cell r="G949">
            <v>0</v>
          </cell>
          <cell r="H949">
            <v>0</v>
          </cell>
          <cell r="I949">
            <v>0</v>
          </cell>
          <cell r="J949">
            <v>0</v>
          </cell>
          <cell r="K949">
            <v>0</v>
          </cell>
          <cell r="L949">
            <v>0</v>
          </cell>
          <cell r="M949">
            <v>0</v>
          </cell>
          <cell r="N949">
            <v>0</v>
          </cell>
          <cell r="O949">
            <v>0</v>
          </cell>
          <cell r="P949">
            <v>0</v>
          </cell>
          <cell r="Q949">
            <v>0</v>
          </cell>
          <cell r="R949">
            <v>0</v>
          </cell>
          <cell r="S949">
            <v>1</v>
          </cell>
        </row>
        <row r="950">
          <cell r="E950" t="str">
            <v>L589</v>
          </cell>
          <cell r="F950">
            <v>1</v>
          </cell>
          <cell r="G950">
            <v>0</v>
          </cell>
          <cell r="H950">
            <v>0</v>
          </cell>
          <cell r="I950">
            <v>0</v>
          </cell>
          <cell r="J950">
            <v>0</v>
          </cell>
          <cell r="K950">
            <v>0</v>
          </cell>
          <cell r="L950">
            <v>0</v>
          </cell>
          <cell r="M950">
            <v>0</v>
          </cell>
          <cell r="N950">
            <v>0</v>
          </cell>
          <cell r="O950">
            <v>0</v>
          </cell>
          <cell r="P950">
            <v>0</v>
          </cell>
          <cell r="Q950">
            <v>0</v>
          </cell>
          <cell r="R950">
            <v>0</v>
          </cell>
          <cell r="S950">
            <v>1</v>
          </cell>
        </row>
        <row r="951">
          <cell r="E951" t="str">
            <v>L599</v>
          </cell>
          <cell r="F951">
            <v>1</v>
          </cell>
          <cell r="G951">
            <v>0</v>
          </cell>
          <cell r="H951">
            <v>0</v>
          </cell>
          <cell r="I951">
            <v>0</v>
          </cell>
          <cell r="J951">
            <v>0</v>
          </cell>
          <cell r="K951">
            <v>0</v>
          </cell>
          <cell r="L951">
            <v>0</v>
          </cell>
          <cell r="M951">
            <v>0</v>
          </cell>
          <cell r="N951">
            <v>0</v>
          </cell>
          <cell r="O951">
            <v>0</v>
          </cell>
          <cell r="P951">
            <v>0</v>
          </cell>
          <cell r="Q951">
            <v>0</v>
          </cell>
          <cell r="R951">
            <v>0</v>
          </cell>
          <cell r="S951">
            <v>1</v>
          </cell>
        </row>
        <row r="952">
          <cell r="E952" t="str">
            <v>OP69</v>
          </cell>
          <cell r="F952">
            <v>1</v>
          </cell>
          <cell r="G952">
            <v>0</v>
          </cell>
          <cell r="H952">
            <v>0</v>
          </cell>
          <cell r="I952">
            <v>0</v>
          </cell>
          <cell r="J952">
            <v>0</v>
          </cell>
          <cell r="K952">
            <v>0</v>
          </cell>
          <cell r="L952">
            <v>0</v>
          </cell>
          <cell r="M952">
            <v>0</v>
          </cell>
          <cell r="N952">
            <v>0</v>
          </cell>
          <cell r="O952">
            <v>0</v>
          </cell>
          <cell r="P952">
            <v>0</v>
          </cell>
          <cell r="Q952">
            <v>0</v>
          </cell>
          <cell r="R952">
            <v>0</v>
          </cell>
          <cell r="S952">
            <v>1</v>
          </cell>
        </row>
        <row r="955">
          <cell r="E955" t="str">
            <v>CS09</v>
          </cell>
          <cell r="F955">
            <v>1</v>
          </cell>
          <cell r="G955">
            <v>0</v>
          </cell>
          <cell r="H955">
            <v>0</v>
          </cell>
          <cell r="I955">
            <v>0</v>
          </cell>
          <cell r="J955">
            <v>0</v>
          </cell>
          <cell r="K955">
            <v>0</v>
          </cell>
          <cell r="L955">
            <v>0</v>
          </cell>
          <cell r="M955">
            <v>0</v>
          </cell>
          <cell r="N955">
            <v>0</v>
          </cell>
          <cell r="O955">
            <v>0</v>
          </cell>
          <cell r="P955">
            <v>0</v>
          </cell>
          <cell r="Q955">
            <v>0</v>
          </cell>
          <cell r="R955">
            <v>0</v>
          </cell>
          <cell r="S955">
            <v>1</v>
          </cell>
        </row>
      </sheetData>
      <sheetData sheetId="15">
        <row r="814">
          <cell r="F814">
            <v>710084</v>
          </cell>
          <cell r="G814">
            <v>296674</v>
          </cell>
          <cell r="H814">
            <v>208925</v>
          </cell>
          <cell r="I814">
            <v>965</v>
          </cell>
          <cell r="J814">
            <v>3398</v>
          </cell>
          <cell r="K814">
            <v>49</v>
          </cell>
          <cell r="L814">
            <v>98906</v>
          </cell>
          <cell r="M814">
            <v>67773</v>
          </cell>
          <cell r="N814">
            <v>2471</v>
          </cell>
          <cell r="O814">
            <v>29879</v>
          </cell>
          <cell r="P814">
            <v>1013</v>
          </cell>
          <cell r="Q814">
            <v>31</v>
          </cell>
          <cell r="R814">
            <v>710084</v>
          </cell>
          <cell r="S814">
            <v>0</v>
          </cell>
        </row>
        <row r="815">
          <cell r="E815" t="str">
            <v>K201</v>
          </cell>
          <cell r="F815">
            <v>1</v>
          </cell>
          <cell r="G815">
            <v>0.41778999999999988</v>
          </cell>
          <cell r="H815">
            <v>0.29422999999999999</v>
          </cell>
          <cell r="I815">
            <v>1.3600000000000001E-3</v>
          </cell>
          <cell r="J815">
            <v>4.79E-3</v>
          </cell>
          <cell r="K815">
            <v>6.9999999999999994E-5</v>
          </cell>
          <cell r="L815">
            <v>0.13929</v>
          </cell>
          <cell r="M815">
            <v>9.5439999999999997E-2</v>
          </cell>
          <cell r="N815">
            <v>3.48E-3</v>
          </cell>
          <cell r="O815">
            <v>4.2079999999999999E-2</v>
          </cell>
          <cell r="P815">
            <v>1.4300000000000001E-3</v>
          </cell>
          <cell r="Q815">
            <v>4.0000000000000003E-5</v>
          </cell>
          <cell r="R815">
            <v>1</v>
          </cell>
          <cell r="S815">
            <v>0</v>
          </cell>
        </row>
        <row r="816">
          <cell r="F816">
            <v>710084</v>
          </cell>
          <cell r="G816">
            <v>296674</v>
          </cell>
          <cell r="H816">
            <v>208925</v>
          </cell>
          <cell r="I816">
            <v>965</v>
          </cell>
          <cell r="J816">
            <v>3398</v>
          </cell>
          <cell r="K816">
            <v>49</v>
          </cell>
          <cell r="L816">
            <v>98906</v>
          </cell>
          <cell r="M816">
            <v>67773</v>
          </cell>
          <cell r="N816">
            <v>2471</v>
          </cell>
          <cell r="O816">
            <v>29879</v>
          </cell>
          <cell r="P816">
            <v>1013</v>
          </cell>
          <cell r="Q816">
            <v>31</v>
          </cell>
          <cell r="R816">
            <v>710084</v>
          </cell>
          <cell r="S816">
            <v>0</v>
          </cell>
        </row>
        <row r="817">
          <cell r="E817" t="str">
            <v>K202</v>
          </cell>
          <cell r="F817">
            <v>1</v>
          </cell>
          <cell r="G817">
            <v>0.41778999999999988</v>
          </cell>
          <cell r="H817">
            <v>0.29422999999999999</v>
          </cell>
          <cell r="I817">
            <v>1.3600000000000001E-3</v>
          </cell>
          <cell r="J817">
            <v>4.79E-3</v>
          </cell>
          <cell r="K817">
            <v>6.9999999999999994E-5</v>
          </cell>
          <cell r="L817">
            <v>0.13929</v>
          </cell>
          <cell r="M817">
            <v>9.5439999999999997E-2</v>
          </cell>
          <cell r="N817">
            <v>3.48E-3</v>
          </cell>
          <cell r="O817">
            <v>4.2079999999999999E-2</v>
          </cell>
          <cell r="P817">
            <v>1.4300000000000001E-3</v>
          </cell>
          <cell r="Q817">
            <v>4.0000000000000003E-5</v>
          </cell>
          <cell r="R817">
            <v>1</v>
          </cell>
          <cell r="S817">
            <v>0</v>
          </cell>
        </row>
        <row r="818">
          <cell r="F818">
            <v>1503360</v>
          </cell>
          <cell r="G818">
            <v>852231</v>
          </cell>
          <cell r="H818">
            <v>342054</v>
          </cell>
          <cell r="I818">
            <v>1125</v>
          </cell>
          <cell r="J818">
            <v>22213</v>
          </cell>
          <cell r="K818">
            <v>92</v>
          </cell>
          <cell r="L818">
            <v>139634</v>
          </cell>
          <cell r="M818">
            <v>90290</v>
          </cell>
          <cell r="N818">
            <v>3195</v>
          </cell>
          <cell r="O818">
            <v>46160</v>
          </cell>
          <cell r="P818">
            <v>6279</v>
          </cell>
          <cell r="Q818">
            <v>87</v>
          </cell>
          <cell r="R818">
            <v>1503360</v>
          </cell>
          <cell r="S818">
            <v>0</v>
          </cell>
        </row>
        <row r="819">
          <cell r="E819" t="str">
            <v>K203</v>
          </cell>
          <cell r="F819">
            <v>1</v>
          </cell>
          <cell r="G819">
            <v>0.56686999999999999</v>
          </cell>
          <cell r="H819">
            <v>0.22753000000000001</v>
          </cell>
          <cell r="I819">
            <v>7.5000000000000002E-4</v>
          </cell>
          <cell r="J819">
            <v>1.478E-2</v>
          </cell>
          <cell r="K819">
            <v>6.0000000000000002E-5</v>
          </cell>
          <cell r="L819">
            <v>9.2880000000000004E-2</v>
          </cell>
          <cell r="M819">
            <v>6.0060000000000002E-2</v>
          </cell>
          <cell r="N819">
            <v>2.1299999999999999E-3</v>
          </cell>
          <cell r="O819">
            <v>3.0700000000000002E-2</v>
          </cell>
          <cell r="P819">
            <v>4.1799999999999997E-3</v>
          </cell>
          <cell r="Q819">
            <v>6.0000000000000002E-5</v>
          </cell>
          <cell r="R819">
            <v>0.99999999999999978</v>
          </cell>
          <cell r="S819">
            <v>0</v>
          </cell>
        </row>
        <row r="820">
          <cell r="F820">
            <v>717613</v>
          </cell>
          <cell r="G820">
            <v>316778</v>
          </cell>
          <cell r="H820">
            <v>211761</v>
          </cell>
          <cell r="I820">
            <v>951</v>
          </cell>
          <cell r="J820">
            <v>4914</v>
          </cell>
          <cell r="K820">
            <v>50</v>
          </cell>
          <cell r="L820">
            <v>104285</v>
          </cell>
          <cell r="M820">
            <v>71563</v>
          </cell>
          <cell r="N820">
            <v>2403</v>
          </cell>
          <cell r="O820">
            <v>0</v>
          </cell>
          <cell r="P820">
            <v>4875</v>
          </cell>
          <cell r="Q820">
            <v>33</v>
          </cell>
          <cell r="R820">
            <v>717613</v>
          </cell>
          <cell r="S820">
            <v>0</v>
          </cell>
        </row>
        <row r="821">
          <cell r="E821" t="str">
            <v>K205</v>
          </cell>
          <cell r="F821">
            <v>1</v>
          </cell>
          <cell r="G821">
            <v>0.44142999999999999</v>
          </cell>
          <cell r="H821">
            <v>0.29509000000000002</v>
          </cell>
          <cell r="I821">
            <v>1.33E-3</v>
          </cell>
          <cell r="J821">
            <v>6.8500000000000002E-3</v>
          </cell>
          <cell r="K821">
            <v>6.9999999999999994E-5</v>
          </cell>
          <cell r="L821">
            <v>0.14532</v>
          </cell>
          <cell r="M821">
            <v>9.9720000000000003E-2</v>
          </cell>
          <cell r="N821">
            <v>3.3500000000000001E-3</v>
          </cell>
          <cell r="O821">
            <v>0</v>
          </cell>
          <cell r="P821">
            <v>6.79E-3</v>
          </cell>
          <cell r="Q821">
            <v>5.0000000000000002E-5</v>
          </cell>
          <cell r="R821">
            <v>1.0000000000000002</v>
          </cell>
          <cell r="S821">
            <v>0</v>
          </cell>
        </row>
        <row r="822">
          <cell r="F822">
            <v>717613</v>
          </cell>
          <cell r="G822">
            <v>316778</v>
          </cell>
          <cell r="H822">
            <v>211761</v>
          </cell>
          <cell r="I822">
            <v>951</v>
          </cell>
          <cell r="J822">
            <v>4914</v>
          </cell>
          <cell r="K822">
            <v>50</v>
          </cell>
          <cell r="L822">
            <v>104285</v>
          </cell>
          <cell r="M822">
            <v>71563</v>
          </cell>
          <cell r="N822">
            <v>2403</v>
          </cell>
          <cell r="O822">
            <v>0</v>
          </cell>
          <cell r="P822">
            <v>4875</v>
          </cell>
          <cell r="Q822">
            <v>33</v>
          </cell>
          <cell r="R822">
            <v>717613</v>
          </cell>
          <cell r="S822">
            <v>0</v>
          </cell>
        </row>
        <row r="823">
          <cell r="E823" t="str">
            <v>K206</v>
          </cell>
          <cell r="F823">
            <v>1</v>
          </cell>
          <cell r="G823">
            <v>0.44142999999999999</v>
          </cell>
          <cell r="H823">
            <v>0.29509000000000002</v>
          </cell>
          <cell r="I823">
            <v>1.33E-3</v>
          </cell>
          <cell r="J823">
            <v>6.8500000000000002E-3</v>
          </cell>
          <cell r="K823">
            <v>6.9999999999999994E-5</v>
          </cell>
          <cell r="L823">
            <v>0.14532</v>
          </cell>
          <cell r="M823">
            <v>9.9720000000000003E-2</v>
          </cell>
          <cell r="N823">
            <v>3.3500000000000001E-3</v>
          </cell>
          <cell r="O823">
            <v>0</v>
          </cell>
          <cell r="P823">
            <v>6.79E-3</v>
          </cell>
          <cell r="Q823">
            <v>5.0000000000000002E-5</v>
          </cell>
          <cell r="R823">
            <v>1.0000000000000002</v>
          </cell>
          <cell r="S823">
            <v>0</v>
          </cell>
        </row>
        <row r="824">
          <cell r="F824">
            <v>128928268</v>
          </cell>
          <cell r="G824">
            <v>101307381</v>
          </cell>
          <cell r="H824">
            <v>19019264</v>
          </cell>
          <cell r="I824">
            <v>120465</v>
          </cell>
          <cell r="J824">
            <v>236899</v>
          </cell>
          <cell r="K824">
            <v>20985</v>
          </cell>
          <cell r="L824">
            <v>686980</v>
          </cell>
          <cell r="M824">
            <v>54119</v>
          </cell>
          <cell r="N824">
            <v>53995</v>
          </cell>
          <cell r="O824">
            <v>69191</v>
          </cell>
          <cell r="P824">
            <v>6698692</v>
          </cell>
          <cell r="Q824">
            <v>660297</v>
          </cell>
          <cell r="R824">
            <v>128928268</v>
          </cell>
          <cell r="S824">
            <v>0</v>
          </cell>
        </row>
        <row r="825">
          <cell r="E825" t="str">
            <v>K209</v>
          </cell>
          <cell r="F825">
            <v>1</v>
          </cell>
          <cell r="G825">
            <v>0.78576000000000001</v>
          </cell>
          <cell r="H825">
            <v>0.14752000000000001</v>
          </cell>
          <cell r="I825">
            <v>9.3000000000000005E-4</v>
          </cell>
          <cell r="J825">
            <v>1.8400000000000001E-3</v>
          </cell>
          <cell r="K825">
            <v>1.6000000000000001E-4</v>
          </cell>
          <cell r="L825">
            <v>5.3299999999999997E-3</v>
          </cell>
          <cell r="M825">
            <v>4.2000000000000002E-4</v>
          </cell>
          <cell r="N825">
            <v>4.2000000000000002E-4</v>
          </cell>
          <cell r="O825">
            <v>5.4000000000000001E-4</v>
          </cell>
          <cell r="P825">
            <v>5.1959999999999999E-2</v>
          </cell>
          <cell r="Q825">
            <v>5.1200000000000004E-3</v>
          </cell>
          <cell r="R825">
            <v>0.99999999999999989</v>
          </cell>
          <cell r="S825">
            <v>0</v>
          </cell>
        </row>
        <row r="826">
          <cell r="F826">
            <v>717613</v>
          </cell>
          <cell r="G826">
            <v>316778</v>
          </cell>
          <cell r="H826">
            <v>211761</v>
          </cell>
          <cell r="I826">
            <v>951</v>
          </cell>
          <cell r="J826">
            <v>4914</v>
          </cell>
          <cell r="K826">
            <v>50</v>
          </cell>
          <cell r="L826">
            <v>104285</v>
          </cell>
          <cell r="M826">
            <v>71563</v>
          </cell>
          <cell r="N826">
            <v>2403</v>
          </cell>
          <cell r="O826">
            <v>0</v>
          </cell>
          <cell r="P826">
            <v>4875</v>
          </cell>
          <cell r="Q826">
            <v>33</v>
          </cell>
          <cell r="R826">
            <v>717613</v>
          </cell>
          <cell r="S826">
            <v>0</v>
          </cell>
        </row>
        <row r="827">
          <cell r="E827" t="str">
            <v>K215</v>
          </cell>
          <cell r="F827">
            <v>1</v>
          </cell>
          <cell r="G827">
            <v>0.44142999999999999</v>
          </cell>
          <cell r="H827">
            <v>0.29509000000000002</v>
          </cell>
          <cell r="I827">
            <v>1.33E-3</v>
          </cell>
          <cell r="J827">
            <v>6.8500000000000002E-3</v>
          </cell>
          <cell r="K827">
            <v>6.9999999999999994E-5</v>
          </cell>
          <cell r="L827">
            <v>0.14532</v>
          </cell>
          <cell r="M827">
            <v>9.9720000000000003E-2</v>
          </cell>
          <cell r="N827">
            <v>3.3500000000000001E-3</v>
          </cell>
          <cell r="O827">
            <v>0</v>
          </cell>
          <cell r="P827">
            <v>6.79E-3</v>
          </cell>
          <cell r="Q827">
            <v>5.0000000000000002E-5</v>
          </cell>
          <cell r="R827">
            <v>1.0000000000000002</v>
          </cell>
          <cell r="S827">
            <v>0</v>
          </cell>
        </row>
        <row r="828">
          <cell r="F828">
            <v>141934</v>
          </cell>
          <cell r="G828">
            <v>126269</v>
          </cell>
          <cell r="H828">
            <v>12827</v>
          </cell>
          <cell r="I828">
            <v>171</v>
          </cell>
          <cell r="J828">
            <v>728</v>
          </cell>
          <cell r="K828">
            <v>16</v>
          </cell>
          <cell r="L828">
            <v>1050</v>
          </cell>
          <cell r="M828">
            <v>259</v>
          </cell>
          <cell r="N828">
            <v>70</v>
          </cell>
          <cell r="O828">
            <v>77</v>
          </cell>
          <cell r="P828">
            <v>394</v>
          </cell>
          <cell r="Q828">
            <v>11</v>
          </cell>
          <cell r="R828">
            <v>141872</v>
          </cell>
          <cell r="S828">
            <v>62</v>
          </cell>
        </row>
        <row r="829">
          <cell r="E829" t="str">
            <v>K217</v>
          </cell>
          <cell r="F829">
            <v>1</v>
          </cell>
          <cell r="G829">
            <v>0.88963000000000003</v>
          </cell>
          <cell r="H829">
            <v>9.0370000000000006E-2</v>
          </cell>
          <cell r="I829">
            <v>1.1999999999999999E-3</v>
          </cell>
          <cell r="J829">
            <v>5.13E-3</v>
          </cell>
          <cell r="K829">
            <v>1.1E-4</v>
          </cell>
          <cell r="L829">
            <v>7.4000000000000003E-3</v>
          </cell>
          <cell r="M829">
            <v>1.82E-3</v>
          </cell>
          <cell r="N829">
            <v>4.8999999999999998E-4</v>
          </cell>
          <cell r="O829">
            <v>5.4000000000000001E-4</v>
          </cell>
          <cell r="P829">
            <v>2.7799999999999999E-3</v>
          </cell>
          <cell r="Q829">
            <v>8.0000000000000007E-5</v>
          </cell>
          <cell r="R829">
            <v>0.99954999999999994</v>
          </cell>
          <cell r="S829">
            <v>4.5000000000006146E-4</v>
          </cell>
        </row>
        <row r="830">
          <cell r="F830">
            <v>4196163573</v>
          </cell>
          <cell r="G830">
            <v>1508499412</v>
          </cell>
          <cell r="H830">
            <v>1170225895</v>
          </cell>
          <cell r="I830">
            <v>6457090</v>
          </cell>
          <cell r="J830">
            <v>19810437</v>
          </cell>
          <cell r="K830">
            <v>277908</v>
          </cell>
          <cell r="L830">
            <v>708045264</v>
          </cell>
          <cell r="M830">
            <v>514497482</v>
          </cell>
          <cell r="N830">
            <v>16235892</v>
          </cell>
          <cell r="O830">
            <v>232190426</v>
          </cell>
          <cell r="P830">
            <v>19741342</v>
          </cell>
          <cell r="Q830">
            <v>182425</v>
          </cell>
          <cell r="R830">
            <v>4196163573</v>
          </cell>
          <cell r="S830">
            <v>0</v>
          </cell>
        </row>
        <row r="831">
          <cell r="E831" t="str">
            <v>K301</v>
          </cell>
          <cell r="F831">
            <v>1</v>
          </cell>
          <cell r="G831">
            <v>0.35949999999999993</v>
          </cell>
          <cell r="H831">
            <v>0.27888000000000002</v>
          </cell>
          <cell r="I831">
            <v>1.5399999999999999E-3</v>
          </cell>
          <cell r="J831">
            <v>4.7200000000000002E-3</v>
          </cell>
          <cell r="K831">
            <v>6.9999999999999994E-5</v>
          </cell>
          <cell r="L831">
            <v>0.16874</v>
          </cell>
          <cell r="M831">
            <v>0.12261</v>
          </cell>
          <cell r="N831">
            <v>3.8700000000000002E-3</v>
          </cell>
          <cell r="O831">
            <v>5.5329999999999997E-2</v>
          </cell>
          <cell r="P831">
            <v>4.7000000000000002E-3</v>
          </cell>
          <cell r="Q831">
            <v>4.0000000000000003E-5</v>
          </cell>
          <cell r="R831">
            <v>1</v>
          </cell>
          <cell r="S831">
            <v>0</v>
          </cell>
        </row>
        <row r="832">
          <cell r="F832">
            <v>4196163573</v>
          </cell>
          <cell r="G832">
            <v>1508499412</v>
          </cell>
          <cell r="H832">
            <v>1170225895</v>
          </cell>
          <cell r="I832">
            <v>6457090</v>
          </cell>
          <cell r="J832">
            <v>19810437</v>
          </cell>
          <cell r="K832">
            <v>277908</v>
          </cell>
          <cell r="L832">
            <v>708045264</v>
          </cell>
          <cell r="M832">
            <v>514497482</v>
          </cell>
          <cell r="N832">
            <v>16235892</v>
          </cell>
          <cell r="O832">
            <v>218940404</v>
          </cell>
          <cell r="P832">
            <v>19741342</v>
          </cell>
          <cell r="Q832">
            <v>182425</v>
          </cell>
          <cell r="R832">
            <v>4182913551</v>
          </cell>
          <cell r="S832">
            <v>13250022</v>
          </cell>
        </row>
        <row r="833">
          <cell r="E833" t="str">
            <v>K303</v>
          </cell>
          <cell r="F833">
            <v>1</v>
          </cell>
          <cell r="G833">
            <v>0.35948999999999998</v>
          </cell>
          <cell r="H833">
            <v>0.27888000000000002</v>
          </cell>
          <cell r="I833">
            <v>1.5399999999999999E-3</v>
          </cell>
          <cell r="J833">
            <v>4.7200000000000002E-3</v>
          </cell>
          <cell r="K833">
            <v>6.9999999999999994E-5</v>
          </cell>
          <cell r="L833">
            <v>0.16874</v>
          </cell>
          <cell r="M833">
            <v>0.12261</v>
          </cell>
          <cell r="N833">
            <v>3.8700000000000002E-3</v>
          </cell>
          <cell r="O833">
            <v>5.2179999999999997E-2</v>
          </cell>
          <cell r="P833">
            <v>4.7000000000000002E-3</v>
          </cell>
          <cell r="Q833">
            <v>4.0000000000000003E-5</v>
          </cell>
          <cell r="R833">
            <v>0.99684000000000006</v>
          </cell>
          <cell r="S833">
            <v>3.1599999999999406E-3</v>
          </cell>
        </row>
        <row r="834">
          <cell r="F834">
            <v>4176422231</v>
          </cell>
          <cell r="G834">
            <v>1508499412</v>
          </cell>
          <cell r="H834">
            <v>1170225895</v>
          </cell>
          <cell r="I834">
            <v>6457090</v>
          </cell>
          <cell r="J834">
            <v>19810437</v>
          </cell>
          <cell r="K834">
            <v>277908</v>
          </cell>
          <cell r="L834">
            <v>708045264</v>
          </cell>
          <cell r="M834">
            <v>514497482</v>
          </cell>
          <cell r="N834">
            <v>16235892</v>
          </cell>
          <cell r="O834">
            <v>232190426</v>
          </cell>
          <cell r="P834">
            <v>0</v>
          </cell>
          <cell r="Q834">
            <v>182425</v>
          </cell>
          <cell r="R834">
            <v>4176422231</v>
          </cell>
          <cell r="S834">
            <v>0</v>
          </cell>
        </row>
        <row r="835">
          <cell r="E835" t="str">
            <v>K305</v>
          </cell>
          <cell r="F835">
            <v>1</v>
          </cell>
          <cell r="G835">
            <v>0.36119000000000001</v>
          </cell>
          <cell r="H835">
            <v>0.2802</v>
          </cell>
          <cell r="I835">
            <v>1.5499999999999999E-3</v>
          </cell>
          <cell r="J835">
            <v>4.7400000000000003E-3</v>
          </cell>
          <cell r="K835">
            <v>6.9999999999999994E-5</v>
          </cell>
          <cell r="L835">
            <v>0.16952999999999999</v>
          </cell>
          <cell r="M835">
            <v>0.12318999999999999</v>
          </cell>
          <cell r="N835">
            <v>3.8899999999999998E-3</v>
          </cell>
          <cell r="O835">
            <v>5.5599999999999997E-2</v>
          </cell>
          <cell r="P835">
            <v>0</v>
          </cell>
          <cell r="Q835">
            <v>4.0000000000000003E-5</v>
          </cell>
          <cell r="R835">
            <v>1</v>
          </cell>
          <cell r="S835">
            <v>0</v>
          </cell>
        </row>
        <row r="836">
          <cell r="F836">
            <v>1</v>
          </cell>
          <cell r="G836">
            <v>1</v>
          </cell>
          <cell r="H836">
            <v>0</v>
          </cell>
          <cell r="I836">
            <v>0</v>
          </cell>
          <cell r="J836">
            <v>0</v>
          </cell>
          <cell r="K836">
            <v>0</v>
          </cell>
          <cell r="L836">
            <v>0</v>
          </cell>
          <cell r="M836">
            <v>0</v>
          </cell>
          <cell r="N836">
            <v>0</v>
          </cell>
          <cell r="O836">
            <v>0</v>
          </cell>
          <cell r="P836">
            <v>0</v>
          </cell>
          <cell r="Q836">
            <v>0</v>
          </cell>
          <cell r="R836">
            <v>1</v>
          </cell>
          <cell r="S836">
            <v>0</v>
          </cell>
        </row>
        <row r="837">
          <cell r="E837" t="str">
            <v>K307</v>
          </cell>
          <cell r="F837">
            <v>1</v>
          </cell>
          <cell r="G837">
            <v>1</v>
          </cell>
          <cell r="H837">
            <v>0</v>
          </cell>
          <cell r="I837">
            <v>0</v>
          </cell>
          <cell r="J837">
            <v>0</v>
          </cell>
          <cell r="K837">
            <v>0</v>
          </cell>
          <cell r="L837">
            <v>0</v>
          </cell>
          <cell r="M837">
            <v>0</v>
          </cell>
          <cell r="N837">
            <v>0</v>
          </cell>
          <cell r="O837">
            <v>0</v>
          </cell>
          <cell r="P837">
            <v>0</v>
          </cell>
          <cell r="Q837">
            <v>0</v>
          </cell>
          <cell r="R837">
            <v>1</v>
          </cell>
          <cell r="S837">
            <v>0</v>
          </cell>
        </row>
        <row r="838">
          <cell r="F838">
            <v>1</v>
          </cell>
          <cell r="G838">
            <v>0</v>
          </cell>
          <cell r="H838">
            <v>0</v>
          </cell>
          <cell r="I838">
            <v>0</v>
          </cell>
          <cell r="J838">
            <v>0</v>
          </cell>
          <cell r="K838">
            <v>0</v>
          </cell>
          <cell r="L838">
            <v>0</v>
          </cell>
          <cell r="M838">
            <v>0</v>
          </cell>
          <cell r="N838">
            <v>0</v>
          </cell>
          <cell r="O838">
            <v>0</v>
          </cell>
          <cell r="P838">
            <v>1</v>
          </cell>
          <cell r="Q838">
            <v>0</v>
          </cell>
          <cell r="R838">
            <v>1</v>
          </cell>
          <cell r="S838">
            <v>0</v>
          </cell>
        </row>
        <row r="839">
          <cell r="E839" t="str">
            <v>K401</v>
          </cell>
          <cell r="F839">
            <v>1</v>
          </cell>
          <cell r="G839">
            <v>0</v>
          </cell>
          <cell r="H839">
            <v>0</v>
          </cell>
          <cell r="I839">
            <v>0</v>
          </cell>
          <cell r="J839">
            <v>0</v>
          </cell>
          <cell r="K839">
            <v>0</v>
          </cell>
          <cell r="L839">
            <v>0</v>
          </cell>
          <cell r="M839">
            <v>0</v>
          </cell>
          <cell r="N839">
            <v>0</v>
          </cell>
          <cell r="O839">
            <v>0</v>
          </cell>
          <cell r="P839">
            <v>1</v>
          </cell>
          <cell r="Q839">
            <v>0</v>
          </cell>
          <cell r="R839">
            <v>1</v>
          </cell>
          <cell r="S839">
            <v>0</v>
          </cell>
        </row>
        <row r="840">
          <cell r="F840">
            <v>140014</v>
          </cell>
          <cell r="G840">
            <v>126269</v>
          </cell>
          <cell r="H840">
            <v>12833</v>
          </cell>
          <cell r="I840">
            <v>171</v>
          </cell>
          <cell r="J840">
            <v>104</v>
          </cell>
          <cell r="K840">
            <v>16</v>
          </cell>
          <cell r="L840">
            <v>154</v>
          </cell>
          <cell r="M840">
            <v>37</v>
          </cell>
          <cell r="N840">
            <v>10</v>
          </cell>
          <cell r="O840">
            <v>15</v>
          </cell>
          <cell r="P840">
            <v>394</v>
          </cell>
          <cell r="Q840">
            <v>11</v>
          </cell>
          <cell r="R840">
            <v>140014</v>
          </cell>
          <cell r="S840">
            <v>0</v>
          </cell>
        </row>
        <row r="841">
          <cell r="E841" t="str">
            <v>K405</v>
          </cell>
          <cell r="F841">
            <v>1</v>
          </cell>
          <cell r="G841">
            <v>0.90183999999999997</v>
          </cell>
          <cell r="H841">
            <v>9.1660000000000005E-2</v>
          </cell>
          <cell r="I841">
            <v>1.2199999999999999E-3</v>
          </cell>
          <cell r="J841">
            <v>7.3999999999999999E-4</v>
          </cell>
          <cell r="K841">
            <v>1.1E-4</v>
          </cell>
          <cell r="L841">
            <v>1.1000000000000001E-3</v>
          </cell>
          <cell r="M841">
            <v>2.5999999999999998E-4</v>
          </cell>
          <cell r="N841">
            <v>6.9999999999999994E-5</v>
          </cell>
          <cell r="O841">
            <v>1.1E-4</v>
          </cell>
          <cell r="P841">
            <v>2.81E-3</v>
          </cell>
          <cell r="Q841">
            <v>8.0000000000000007E-5</v>
          </cell>
          <cell r="R841">
            <v>1</v>
          </cell>
          <cell r="S841">
            <v>0</v>
          </cell>
        </row>
        <row r="842">
          <cell r="F842">
            <v>139999</v>
          </cell>
          <cell r="G842">
            <v>126269</v>
          </cell>
          <cell r="H842">
            <v>12833</v>
          </cell>
          <cell r="I842">
            <v>171</v>
          </cell>
          <cell r="J842">
            <v>104</v>
          </cell>
          <cell r="K842">
            <v>16</v>
          </cell>
          <cell r="L842">
            <v>154</v>
          </cell>
          <cell r="M842">
            <v>37</v>
          </cell>
          <cell r="N842">
            <v>10</v>
          </cell>
          <cell r="O842">
            <v>0</v>
          </cell>
          <cell r="P842">
            <v>394</v>
          </cell>
          <cell r="Q842">
            <v>11</v>
          </cell>
          <cell r="R842">
            <v>139999</v>
          </cell>
          <cell r="S842">
            <v>0</v>
          </cell>
        </row>
        <row r="843">
          <cell r="E843" t="str">
            <v>K406</v>
          </cell>
          <cell r="F843">
            <v>1</v>
          </cell>
          <cell r="G843">
            <v>0.90195000000000003</v>
          </cell>
          <cell r="H843">
            <v>9.1660000000000005E-2</v>
          </cell>
          <cell r="I843">
            <v>1.2199999999999999E-3</v>
          </cell>
          <cell r="J843">
            <v>7.3999999999999999E-4</v>
          </cell>
          <cell r="K843">
            <v>1.1E-4</v>
          </cell>
          <cell r="L843">
            <v>1.1000000000000001E-3</v>
          </cell>
          <cell r="M843">
            <v>2.5999999999999998E-4</v>
          </cell>
          <cell r="N843">
            <v>6.9999999999999994E-5</v>
          </cell>
          <cell r="O843">
            <v>0</v>
          </cell>
          <cell r="P843">
            <v>2.81E-3</v>
          </cell>
          <cell r="Q843">
            <v>8.0000000000000007E-5</v>
          </cell>
          <cell r="R843">
            <v>1</v>
          </cell>
          <cell r="S843">
            <v>0</v>
          </cell>
        </row>
        <row r="844">
          <cell r="F844">
            <v>6350638</v>
          </cell>
          <cell r="G844">
            <v>3299927</v>
          </cell>
          <cell r="H844">
            <v>2696699</v>
          </cell>
          <cell r="I844">
            <v>0</v>
          </cell>
          <cell r="J844">
            <v>22657</v>
          </cell>
          <cell r="K844">
            <v>2715</v>
          </cell>
          <cell r="L844">
            <v>125418</v>
          </cell>
          <cell r="M844">
            <v>0</v>
          </cell>
          <cell r="N844">
            <v>10654</v>
          </cell>
          <cell r="O844">
            <v>16048</v>
          </cell>
          <cell r="P844">
            <v>0</v>
          </cell>
          <cell r="Q844">
            <v>176520</v>
          </cell>
          <cell r="R844">
            <v>6350638</v>
          </cell>
          <cell r="S844">
            <v>0</v>
          </cell>
        </row>
        <row r="845">
          <cell r="E845" t="str">
            <v>K407</v>
          </cell>
          <cell r="F845">
            <v>1</v>
          </cell>
          <cell r="G845">
            <v>0.51961000000000002</v>
          </cell>
          <cell r="H845">
            <v>0.42463000000000001</v>
          </cell>
          <cell r="I845">
            <v>0</v>
          </cell>
          <cell r="J845">
            <v>3.5699999999999998E-3</v>
          </cell>
          <cell r="K845">
            <v>4.2999999999999999E-4</v>
          </cell>
          <cell r="L845">
            <v>1.975E-2</v>
          </cell>
          <cell r="M845">
            <v>0</v>
          </cell>
          <cell r="N845">
            <v>1.6800000000000001E-3</v>
          </cell>
          <cell r="O845">
            <v>2.5300000000000001E-3</v>
          </cell>
          <cell r="P845">
            <v>0</v>
          </cell>
          <cell r="Q845">
            <v>2.7799999999999998E-2</v>
          </cell>
          <cell r="R845">
            <v>1</v>
          </cell>
          <cell r="S845">
            <v>0</v>
          </cell>
        </row>
        <row r="846">
          <cell r="F846">
            <v>243058</v>
          </cell>
          <cell r="G846">
            <v>126269</v>
          </cell>
          <cell r="H846">
            <v>102622</v>
          </cell>
          <cell r="I846">
            <v>171</v>
          </cell>
          <cell r="J846">
            <v>832</v>
          </cell>
          <cell r="K846">
            <v>112</v>
          </cell>
          <cell r="L846">
            <v>4804</v>
          </cell>
          <cell r="M846">
            <v>37</v>
          </cell>
          <cell r="N846">
            <v>410</v>
          </cell>
          <cell r="O846">
            <v>620</v>
          </cell>
          <cell r="P846">
            <v>394</v>
          </cell>
          <cell r="Q846">
            <v>6787</v>
          </cell>
          <cell r="R846">
            <v>243058</v>
          </cell>
          <cell r="S846">
            <v>0</v>
          </cell>
        </row>
        <row r="847">
          <cell r="E847" t="str">
            <v>K409</v>
          </cell>
          <cell r="F847">
            <v>1</v>
          </cell>
          <cell r="G847">
            <v>0.51951999999999998</v>
          </cell>
          <cell r="H847">
            <v>0.42220999999999997</v>
          </cell>
          <cell r="I847">
            <v>6.9999999999999999E-4</v>
          </cell>
          <cell r="J847">
            <v>3.4199999999999999E-3</v>
          </cell>
          <cell r="K847">
            <v>4.6000000000000001E-4</v>
          </cell>
          <cell r="L847">
            <v>1.976E-2</v>
          </cell>
          <cell r="M847">
            <v>1.4999999999999999E-4</v>
          </cell>
          <cell r="N847">
            <v>1.6900000000000001E-3</v>
          </cell>
          <cell r="O847">
            <v>2.5500000000000002E-3</v>
          </cell>
          <cell r="P847">
            <v>1.6199999999999999E-3</v>
          </cell>
          <cell r="Q847">
            <v>2.792E-2</v>
          </cell>
          <cell r="R847">
            <v>1</v>
          </cell>
          <cell r="S847">
            <v>0</v>
          </cell>
        </row>
        <row r="848">
          <cell r="F848">
            <v>1498164.3299999998</v>
          </cell>
          <cell r="G848">
            <v>1370864</v>
          </cell>
          <cell r="H848">
            <v>62282.329999999842</v>
          </cell>
          <cell r="I848">
            <v>409</v>
          </cell>
          <cell r="J848">
            <v>432</v>
          </cell>
          <cell r="K848">
            <v>20</v>
          </cell>
          <cell r="L848">
            <v>31779</v>
          </cell>
          <cell r="M848">
            <v>21269</v>
          </cell>
          <cell r="N848">
            <v>642</v>
          </cell>
          <cell r="O848">
            <v>9153</v>
          </cell>
          <cell r="P848">
            <v>1309</v>
          </cell>
          <cell r="Q848">
            <v>5</v>
          </cell>
          <cell r="R848">
            <v>1498164.3299999998</v>
          </cell>
          <cell r="S848">
            <v>0</v>
          </cell>
        </row>
        <row r="849">
          <cell r="E849" t="str">
            <v>K411</v>
          </cell>
          <cell r="F849">
            <v>1</v>
          </cell>
          <cell r="G849">
            <v>0.91503999999999996</v>
          </cell>
          <cell r="H849">
            <v>4.1570000000000003E-2</v>
          </cell>
          <cell r="I849">
            <v>2.7E-4</v>
          </cell>
          <cell r="J849">
            <v>2.9E-4</v>
          </cell>
          <cell r="K849">
            <v>1.0000000000000001E-5</v>
          </cell>
          <cell r="L849">
            <v>2.121E-2</v>
          </cell>
          <cell r="M849">
            <v>1.4200000000000001E-2</v>
          </cell>
          <cell r="N849">
            <v>4.2999999999999999E-4</v>
          </cell>
          <cell r="O849">
            <v>6.11E-3</v>
          </cell>
          <cell r="P849">
            <v>8.7000000000000001E-4</v>
          </cell>
          <cell r="Q849">
            <v>0</v>
          </cell>
          <cell r="R849">
            <v>0.99999999999999989</v>
          </cell>
          <cell r="S849">
            <v>0</v>
          </cell>
        </row>
        <row r="850">
          <cell r="F850">
            <v>4178319049</v>
          </cell>
          <cell r="G850">
            <v>1508499412</v>
          </cell>
          <cell r="H850">
            <v>1170020285</v>
          </cell>
          <cell r="I850">
            <v>6457090</v>
          </cell>
          <cell r="J850">
            <v>19810437</v>
          </cell>
          <cell r="K850">
            <v>277908</v>
          </cell>
          <cell r="L850">
            <v>703656372</v>
          </cell>
          <cell r="M850">
            <v>514497482</v>
          </cell>
          <cell r="N850">
            <v>16235892</v>
          </cell>
          <cell r="O850">
            <v>218940404</v>
          </cell>
          <cell r="P850">
            <v>19741342</v>
          </cell>
          <cell r="Q850">
            <v>182425</v>
          </cell>
          <cell r="R850">
            <v>4178319049</v>
          </cell>
          <cell r="S850">
            <v>0</v>
          </cell>
        </row>
        <row r="851">
          <cell r="E851" t="str">
            <v>K302</v>
          </cell>
          <cell r="F851">
            <v>1</v>
          </cell>
          <cell r="G851">
            <v>0.36102000000000001</v>
          </cell>
          <cell r="H851">
            <v>0.28001999999999999</v>
          </cell>
          <cell r="I851">
            <v>1.5499999999999999E-3</v>
          </cell>
          <cell r="J851">
            <v>4.7400000000000003E-3</v>
          </cell>
          <cell r="K851">
            <v>6.9999999999999994E-5</v>
          </cell>
          <cell r="L851">
            <v>0.16841</v>
          </cell>
          <cell r="M851">
            <v>0.12314</v>
          </cell>
          <cell r="N851">
            <v>3.8899999999999998E-3</v>
          </cell>
          <cell r="O851">
            <v>5.2400000000000002E-2</v>
          </cell>
          <cell r="P851">
            <v>4.7200000000000002E-3</v>
          </cell>
          <cell r="Q851">
            <v>4.0000000000000003E-5</v>
          </cell>
          <cell r="R851">
            <v>1</v>
          </cell>
          <cell r="S851">
            <v>0</v>
          </cell>
        </row>
        <row r="853">
          <cell r="E853" t="str">
            <v>R600</v>
          </cell>
          <cell r="F853">
            <v>19982184</v>
          </cell>
          <cell r="G853">
            <v>15149666</v>
          </cell>
          <cell r="H853">
            <v>3511359</v>
          </cell>
          <cell r="I853">
            <v>18160</v>
          </cell>
          <cell r="J853">
            <v>31235</v>
          </cell>
          <cell r="K853">
            <v>3848</v>
          </cell>
          <cell r="L853">
            <v>209441</v>
          </cell>
          <cell r="M853">
            <v>57430</v>
          </cell>
          <cell r="N853">
            <v>12464</v>
          </cell>
          <cell r="O853">
            <v>38270</v>
          </cell>
          <cell r="P853">
            <v>786093</v>
          </cell>
          <cell r="Q853">
            <v>164218</v>
          </cell>
          <cell r="R853">
            <v>19982184</v>
          </cell>
          <cell r="S853">
            <v>0</v>
          </cell>
        </row>
        <row r="854">
          <cell r="E854" t="str">
            <v>R602</v>
          </cell>
          <cell r="F854">
            <v>53296955</v>
          </cell>
          <cell r="G854">
            <v>38648289</v>
          </cell>
          <cell r="H854">
            <v>10409428</v>
          </cell>
          <cell r="I854">
            <v>48500</v>
          </cell>
          <cell r="J854">
            <v>80478</v>
          </cell>
          <cell r="K854">
            <v>11725</v>
          </cell>
          <cell r="L854">
            <v>839427</v>
          </cell>
          <cell r="M854">
            <v>292600</v>
          </cell>
          <cell r="N854">
            <v>44236</v>
          </cell>
          <cell r="O854">
            <v>174814</v>
          </cell>
          <cell r="P854">
            <v>2172384</v>
          </cell>
          <cell r="Q854">
            <v>575074</v>
          </cell>
          <cell r="R854">
            <v>53296955</v>
          </cell>
          <cell r="S854">
            <v>0</v>
          </cell>
        </row>
        <row r="856">
          <cell r="R856" t="str">
            <v>FR-16(7)(v)-13</v>
          </cell>
        </row>
        <row r="857">
          <cell r="R857" t="str">
            <v>WITNESS RESPONSIBLE:</v>
          </cell>
        </row>
        <row r="858">
          <cell r="R858" t="str">
            <v>JAMES E. ZIOLKOWSKI</v>
          </cell>
        </row>
        <row r="859">
          <cell r="R859" t="str">
            <v>PAGE 17 OF 18</v>
          </cell>
        </row>
        <row r="862">
          <cell r="F862" t="str">
            <v>TOTAL</v>
          </cell>
          <cell r="H862" t="str">
            <v>DS</v>
          </cell>
          <cell r="I862" t="str">
            <v>GSFL</v>
          </cell>
          <cell r="J862" t="str">
            <v>EH</v>
          </cell>
          <cell r="K862" t="str">
            <v>SP</v>
          </cell>
          <cell r="L862" t="str">
            <v>DT SEC</v>
          </cell>
          <cell r="M862" t="str">
            <v>DT PRI</v>
          </cell>
          <cell r="N862" t="str">
            <v>DP</v>
          </cell>
          <cell r="O862" t="str">
            <v>TT</v>
          </cell>
          <cell r="Q862" t="str">
            <v>OTHER</v>
          </cell>
        </row>
        <row r="863">
          <cell r="F863" t="str">
            <v>DISTRIBUTION</v>
          </cell>
          <cell r="G863" t="str">
            <v>RS</v>
          </cell>
          <cell r="H863" t="str">
            <v>SECONDARY</v>
          </cell>
          <cell r="I863" t="str">
            <v>SECONDARY</v>
          </cell>
          <cell r="J863" t="str">
            <v>SECONDARY</v>
          </cell>
          <cell r="K863" t="str">
            <v>SECONDARY</v>
          </cell>
          <cell r="L863" t="str">
            <v>SECONDARY</v>
          </cell>
          <cell r="M863" t="str">
            <v>PRIMARY</v>
          </cell>
          <cell r="N863" t="str">
            <v>PRIMARY</v>
          </cell>
          <cell r="O863" t="str">
            <v>TRANSMISSION</v>
          </cell>
          <cell r="P863" t="str">
            <v>LT</v>
          </cell>
          <cell r="Q863" t="str">
            <v>WATER</v>
          </cell>
          <cell r="R863" t="str">
            <v>TOTAL</v>
          </cell>
          <cell r="S863" t="str">
            <v>ALL</v>
          </cell>
        </row>
        <row r="864">
          <cell r="E864" t="str">
            <v>ALLO</v>
          </cell>
          <cell r="F864" t="str">
            <v>CUSTOMER</v>
          </cell>
          <cell r="G864" t="str">
            <v>RESIDENTIAL</v>
          </cell>
          <cell r="H864" t="str">
            <v>DISTRIBUTION</v>
          </cell>
          <cell r="I864" t="str">
            <v>DISTRIBUTION</v>
          </cell>
          <cell r="J864" t="str">
            <v>DISTRIBUTION</v>
          </cell>
          <cell r="K864" t="str">
            <v>DISTRIBUTION</v>
          </cell>
          <cell r="L864" t="str">
            <v>DISTRIBUTION</v>
          </cell>
          <cell r="M864" t="str">
            <v>DISTRIBUTION</v>
          </cell>
          <cell r="N864" t="str">
            <v>DISTRIBUTION</v>
          </cell>
          <cell r="O864" t="str">
            <v>TIME OF DAY</v>
          </cell>
          <cell r="P864" t="str">
            <v>LIGHTING</v>
          </cell>
          <cell r="Q864" t="str">
            <v>PUMPING</v>
          </cell>
          <cell r="R864" t="str">
            <v>AT ISSUE</v>
          </cell>
          <cell r="S864" t="str">
            <v>OTHER</v>
          </cell>
        </row>
        <row r="865">
          <cell r="E865">
            <v>1</v>
          </cell>
          <cell r="G865">
            <v>3</v>
          </cell>
          <cell r="H865">
            <v>4</v>
          </cell>
          <cell r="I865">
            <v>5</v>
          </cell>
          <cell r="J865">
            <v>6</v>
          </cell>
          <cell r="K865">
            <v>7</v>
          </cell>
          <cell r="L865">
            <v>8</v>
          </cell>
          <cell r="M865">
            <v>9</v>
          </cell>
          <cell r="N865">
            <v>10</v>
          </cell>
          <cell r="O865">
            <v>11</v>
          </cell>
          <cell r="P865">
            <v>12</v>
          </cell>
          <cell r="Q865">
            <v>13</v>
          </cell>
          <cell r="S865" t="str">
            <v xml:space="preserve"> </v>
          </cell>
        </row>
        <row r="867">
          <cell r="F867">
            <v>304312778</v>
          </cell>
          <cell r="G867">
            <v>120391018</v>
          </cell>
          <cell r="H867">
            <v>89967454</v>
          </cell>
          <cell r="I867">
            <v>589997</v>
          </cell>
          <cell r="J867">
            <v>623628</v>
          </cell>
          <cell r="K867">
            <v>28730</v>
          </cell>
          <cell r="L867">
            <v>45903624</v>
          </cell>
          <cell r="M867">
            <v>30722085</v>
          </cell>
          <cell r="N867">
            <v>926746</v>
          </cell>
          <cell r="O867">
            <v>13220511</v>
          </cell>
          <cell r="P867">
            <v>1889364</v>
          </cell>
          <cell r="Q867">
            <v>7414</v>
          </cell>
          <cell r="R867">
            <v>304270571</v>
          </cell>
          <cell r="S867">
            <v>42207</v>
          </cell>
        </row>
        <row r="868">
          <cell r="E868" t="str">
            <v>K901</v>
          </cell>
          <cell r="F868">
            <v>1</v>
          </cell>
          <cell r="G868">
            <v>0.39562000000000003</v>
          </cell>
          <cell r="H868">
            <v>0.295641394</v>
          </cell>
          <cell r="I868">
            <v>1.9387849999999999E-3</v>
          </cell>
          <cell r="J868">
            <v>2.0492990000000001E-3</v>
          </cell>
          <cell r="K868">
            <v>9.4408999999999997E-5</v>
          </cell>
          <cell r="L868">
            <v>0.15084356400000001</v>
          </cell>
          <cell r="M868">
            <v>0.100955619</v>
          </cell>
          <cell r="N868">
            <v>3.0453730000000001E-3</v>
          </cell>
          <cell r="O868">
            <v>4.3443824999999998E-2</v>
          </cell>
          <cell r="P868">
            <v>6.2086249999999997E-3</v>
          </cell>
          <cell r="Q868">
            <v>2.4363E-5</v>
          </cell>
          <cell r="R868">
            <v>0.99986525599999998</v>
          </cell>
          <cell r="S868">
            <v>1.3474400000001996E-4</v>
          </cell>
        </row>
        <row r="869">
          <cell r="F869">
            <v>304312778</v>
          </cell>
          <cell r="G869">
            <v>120391018</v>
          </cell>
          <cell r="H869">
            <v>89967454</v>
          </cell>
          <cell r="I869">
            <v>589997</v>
          </cell>
          <cell r="J869">
            <v>623628</v>
          </cell>
          <cell r="K869">
            <v>28730</v>
          </cell>
          <cell r="L869">
            <v>45903624</v>
          </cell>
          <cell r="M869">
            <v>30722085</v>
          </cell>
          <cell r="N869">
            <v>926746</v>
          </cell>
          <cell r="O869">
            <v>13220511</v>
          </cell>
          <cell r="P869">
            <v>1889364</v>
          </cell>
          <cell r="Q869">
            <v>7414</v>
          </cell>
          <cell r="R869">
            <v>304270571</v>
          </cell>
          <cell r="S869">
            <v>42207</v>
          </cell>
        </row>
        <row r="870">
          <cell r="E870" t="str">
            <v>K902</v>
          </cell>
          <cell r="F870">
            <v>1</v>
          </cell>
          <cell r="G870">
            <v>0.39562000000000003</v>
          </cell>
          <cell r="H870">
            <v>0.295641394</v>
          </cell>
          <cell r="I870">
            <v>1.9387849999999999E-3</v>
          </cell>
          <cell r="J870">
            <v>2.0492990000000001E-3</v>
          </cell>
          <cell r="K870">
            <v>9.4408999999999997E-5</v>
          </cell>
          <cell r="L870">
            <v>0.15084356400000001</v>
          </cell>
          <cell r="M870">
            <v>0.100955619</v>
          </cell>
          <cell r="N870">
            <v>3.0453730000000001E-3</v>
          </cell>
          <cell r="O870">
            <v>4.3443824999999998E-2</v>
          </cell>
          <cell r="P870">
            <v>6.2086249999999997E-3</v>
          </cell>
          <cell r="Q870">
            <v>2.4363E-5</v>
          </cell>
          <cell r="R870">
            <v>0.99986525599999998</v>
          </cell>
          <cell r="S870">
            <v>1.3474400000001996E-4</v>
          </cell>
        </row>
        <row r="874">
          <cell r="E874" t="str">
            <v>P129</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row>
        <row r="875">
          <cell r="E875" t="str">
            <v>T129</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row>
        <row r="876">
          <cell r="E876" t="str">
            <v>PT29</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row>
        <row r="877">
          <cell r="E877" t="str">
            <v>D149</v>
          </cell>
          <cell r="F877">
            <v>1</v>
          </cell>
          <cell r="G877">
            <v>0.78576000000000001</v>
          </cell>
          <cell r="H877">
            <v>0.14752000000000001</v>
          </cell>
          <cell r="I877">
            <v>9.3000000000000005E-4</v>
          </cell>
          <cell r="J877">
            <v>1.8400000000000001E-3</v>
          </cell>
          <cell r="K877">
            <v>1.6000000000000001E-4</v>
          </cell>
          <cell r="L877">
            <v>5.3299999999999997E-3</v>
          </cell>
          <cell r="M877">
            <v>4.2000000000000002E-4</v>
          </cell>
          <cell r="N877">
            <v>4.2000000000000002E-4</v>
          </cell>
          <cell r="O877">
            <v>5.4000000000000001E-4</v>
          </cell>
          <cell r="P877">
            <v>5.1959999999999999E-2</v>
          </cell>
          <cell r="Q877">
            <v>5.1200000000000004E-3</v>
          </cell>
          <cell r="R877">
            <v>0.99999999999999989</v>
          </cell>
          <cell r="S877">
            <v>0</v>
          </cell>
        </row>
        <row r="878">
          <cell r="E878" t="str">
            <v>TD29</v>
          </cell>
          <cell r="F878">
            <v>1</v>
          </cell>
          <cell r="G878">
            <v>0.78576000000000001</v>
          </cell>
          <cell r="H878">
            <v>0.14752000000000001</v>
          </cell>
          <cell r="I878">
            <v>9.3000000000000005E-4</v>
          </cell>
          <cell r="J878">
            <v>1.8400000000000001E-3</v>
          </cell>
          <cell r="K878">
            <v>1.6000000000000001E-4</v>
          </cell>
          <cell r="L878">
            <v>5.3299999999999997E-3</v>
          </cell>
          <cell r="M878">
            <v>4.2000000000000002E-4</v>
          </cell>
          <cell r="N878">
            <v>4.2000000000000002E-4</v>
          </cell>
          <cell r="O878">
            <v>5.4000000000000001E-4</v>
          </cell>
          <cell r="P878">
            <v>5.1959999999999999E-2</v>
          </cell>
          <cell r="Q878">
            <v>5.1200000000000004E-3</v>
          </cell>
          <cell r="R878">
            <v>0.99999999999999989</v>
          </cell>
          <cell r="S878">
            <v>0</v>
          </cell>
        </row>
        <row r="879">
          <cell r="E879" t="str">
            <v>PD29</v>
          </cell>
          <cell r="F879">
            <v>1</v>
          </cell>
          <cell r="G879">
            <v>0.78581000000000001</v>
          </cell>
          <cell r="H879">
            <v>0.17791000000000001</v>
          </cell>
          <cell r="I879">
            <v>1.0200000000000001E-3</v>
          </cell>
          <cell r="J879">
            <v>1.3799999999999999E-3</v>
          </cell>
          <cell r="K879">
            <v>2.0000000000000001E-4</v>
          </cell>
          <cell r="L879">
            <v>1.3769999999999999E-2</v>
          </cell>
          <cell r="M879">
            <v>4.9899999999999996E-3</v>
          </cell>
          <cell r="N879">
            <v>6.9999999999999999E-4</v>
          </cell>
          <cell r="O879">
            <v>2.9199999999999999E-3</v>
          </cell>
          <cell r="P879">
            <v>2.4299999999999999E-3</v>
          </cell>
          <cell r="Q879">
            <v>8.8699999999999994E-3</v>
          </cell>
          <cell r="R879">
            <v>1.0000000000000002</v>
          </cell>
          <cell r="S879">
            <v>0</v>
          </cell>
        </row>
        <row r="880">
          <cell r="E880" t="str">
            <v>G129</v>
          </cell>
          <cell r="F880">
            <v>1</v>
          </cell>
          <cell r="G880">
            <v>0.78581000000000001</v>
          </cell>
          <cell r="H880">
            <v>0.17791000000000001</v>
          </cell>
          <cell r="I880">
            <v>1.0200000000000001E-3</v>
          </cell>
          <cell r="J880">
            <v>1.3699999999999999E-3</v>
          </cell>
          <cell r="K880">
            <v>2.0000000000000001E-4</v>
          </cell>
          <cell r="L880">
            <v>1.3769999999999999E-2</v>
          </cell>
          <cell r="M880">
            <v>4.9899999999999996E-3</v>
          </cell>
          <cell r="N880">
            <v>7.1000000000000002E-4</v>
          </cell>
          <cell r="O880">
            <v>2.9199999999999999E-3</v>
          </cell>
          <cell r="P880">
            <v>2.4299999999999999E-3</v>
          </cell>
          <cell r="Q880">
            <v>8.8699999999999994E-3</v>
          </cell>
          <cell r="R880">
            <v>1</v>
          </cell>
          <cell r="S880">
            <v>0</v>
          </cell>
        </row>
        <row r="881">
          <cell r="E881" t="str">
            <v>C129</v>
          </cell>
          <cell r="F881">
            <v>1</v>
          </cell>
          <cell r="G881">
            <v>0.78577000000000008</v>
          </cell>
          <cell r="H881">
            <v>0.14984</v>
          </cell>
          <cell r="I881">
            <v>9.3999999999999997E-4</v>
          </cell>
          <cell r="J881">
            <v>1.8E-3</v>
          </cell>
          <cell r="K881">
            <v>1.7000000000000001E-4</v>
          </cell>
          <cell r="L881">
            <v>5.9699999999999996E-3</v>
          </cell>
          <cell r="M881">
            <v>7.6999999999999996E-4</v>
          </cell>
          <cell r="N881">
            <v>4.4000000000000002E-4</v>
          </cell>
          <cell r="O881">
            <v>7.2000000000000005E-4</v>
          </cell>
          <cell r="P881">
            <v>4.8169999999999998E-2</v>
          </cell>
          <cell r="Q881">
            <v>5.4099999999999999E-3</v>
          </cell>
          <cell r="R881">
            <v>1.0000000000000002</v>
          </cell>
          <cell r="S881">
            <v>0</v>
          </cell>
        </row>
        <row r="882">
          <cell r="E882" t="str">
            <v>GP19</v>
          </cell>
          <cell r="F882">
            <v>1</v>
          </cell>
          <cell r="G882">
            <v>0.80293000000000003</v>
          </cell>
          <cell r="H882">
            <v>8.931E-2</v>
          </cell>
          <cell r="I882">
            <v>1.07E-3</v>
          </cell>
          <cell r="J882">
            <v>1.6999999999999999E-3</v>
          </cell>
          <cell r="K882">
            <v>1.1E-4</v>
          </cell>
          <cell r="L882">
            <v>2.7699999999999999E-3</v>
          </cell>
          <cell r="M882">
            <v>5.6999999999999998E-4</v>
          </cell>
          <cell r="N882">
            <v>1.9000000000000001E-4</v>
          </cell>
          <cell r="O882">
            <v>1.7000000000000001E-4</v>
          </cell>
          <cell r="P882">
            <v>0.10052999999999999</v>
          </cell>
          <cell r="Q882">
            <v>6.4999999999999997E-4</v>
          </cell>
          <cell r="R882">
            <v>1.0000000000000002</v>
          </cell>
          <cell r="S882">
            <v>0</v>
          </cell>
        </row>
        <row r="883">
          <cell r="E883" t="str">
            <v>DR19</v>
          </cell>
          <cell r="F883">
            <v>1</v>
          </cell>
          <cell r="G883">
            <v>0.80092999999999992</v>
          </cell>
          <cell r="H883">
            <v>0.10215</v>
          </cell>
          <cell r="I883">
            <v>1.06E-3</v>
          </cell>
          <cell r="J883">
            <v>1.65E-3</v>
          </cell>
          <cell r="K883">
            <v>1.2E-4</v>
          </cell>
          <cell r="L883">
            <v>4.3699999999999998E-3</v>
          </cell>
          <cell r="M883">
            <v>1.2199999999999999E-3</v>
          </cell>
          <cell r="N883">
            <v>2.5999999999999998E-4</v>
          </cell>
          <cell r="O883">
            <v>5.6999999999999998E-4</v>
          </cell>
          <cell r="P883">
            <v>8.5830000000000004E-2</v>
          </cell>
          <cell r="Q883">
            <v>1.8400000000000001E-3</v>
          </cell>
          <cell r="R883">
            <v>0.99999999999999978</v>
          </cell>
          <cell r="S883">
            <v>0</v>
          </cell>
        </row>
        <row r="886">
          <cell r="E886" t="str">
            <v>P229</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row>
        <row r="887">
          <cell r="E887" t="str">
            <v>T229</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row>
        <row r="888">
          <cell r="E888" t="str">
            <v>PL49</v>
          </cell>
          <cell r="F888">
            <v>1</v>
          </cell>
          <cell r="G888">
            <v>0.90195000000000003</v>
          </cell>
          <cell r="H888">
            <v>9.1660000000000005E-2</v>
          </cell>
          <cell r="I888">
            <v>1.2199999999999999E-3</v>
          </cell>
          <cell r="J888">
            <v>7.3999999999999999E-4</v>
          </cell>
          <cell r="K888">
            <v>1.1E-4</v>
          </cell>
          <cell r="L888">
            <v>1.1000000000000001E-3</v>
          </cell>
          <cell r="M888">
            <v>2.5999999999999998E-4</v>
          </cell>
          <cell r="N888">
            <v>6.9999999999999994E-5</v>
          </cell>
          <cell r="O888">
            <v>0</v>
          </cell>
          <cell r="P888">
            <v>2.81E-3</v>
          </cell>
          <cell r="Q888">
            <v>8.0000000000000007E-5</v>
          </cell>
          <cell r="R888">
            <v>1</v>
          </cell>
          <cell r="S888">
            <v>0</v>
          </cell>
        </row>
        <row r="889">
          <cell r="E889" t="str">
            <v>D249</v>
          </cell>
          <cell r="F889">
            <v>1</v>
          </cell>
          <cell r="G889">
            <v>0.77629000000000004</v>
          </cell>
          <cell r="H889">
            <v>0.17965999999999999</v>
          </cell>
          <cell r="I889">
            <v>8.5999999999999998E-4</v>
          </cell>
          <cell r="J889">
            <v>1.91E-3</v>
          </cell>
          <cell r="K889">
            <v>1.9000000000000001E-4</v>
          </cell>
          <cell r="L889">
            <v>6.7400000000000003E-3</v>
          </cell>
          <cell r="M889">
            <v>3.3E-4</v>
          </cell>
          <cell r="N889">
            <v>5.5000000000000003E-4</v>
          </cell>
          <cell r="O889">
            <v>7.3999999999999999E-4</v>
          </cell>
          <cell r="P889">
            <v>2.5139999999999999E-2</v>
          </cell>
          <cell r="Q889">
            <v>7.5900000000000004E-3</v>
          </cell>
          <cell r="R889">
            <v>1.0000000000000002</v>
          </cell>
          <cell r="S889">
            <v>0</v>
          </cell>
        </row>
        <row r="890">
          <cell r="E890" t="str">
            <v>NT29</v>
          </cell>
          <cell r="F890">
            <v>1</v>
          </cell>
          <cell r="G890">
            <v>0.77629000000000004</v>
          </cell>
          <cell r="H890">
            <v>0.17965999999999999</v>
          </cell>
          <cell r="I890">
            <v>8.5999999999999998E-4</v>
          </cell>
          <cell r="J890">
            <v>1.91E-3</v>
          </cell>
          <cell r="K890">
            <v>1.9000000000000001E-4</v>
          </cell>
          <cell r="L890">
            <v>6.7400000000000003E-3</v>
          </cell>
          <cell r="M890">
            <v>3.3E-4</v>
          </cell>
          <cell r="N890">
            <v>5.5000000000000003E-4</v>
          </cell>
          <cell r="O890">
            <v>7.3999999999999999E-4</v>
          </cell>
          <cell r="P890">
            <v>2.5139999999999999E-2</v>
          </cell>
          <cell r="Q890">
            <v>7.5900000000000004E-3</v>
          </cell>
          <cell r="R890">
            <v>1.0000000000000002</v>
          </cell>
          <cell r="S890">
            <v>0</v>
          </cell>
        </row>
        <row r="891">
          <cell r="E891" t="str">
            <v>G229</v>
          </cell>
          <cell r="F891">
            <v>1</v>
          </cell>
          <cell r="G891">
            <v>0.77628999999999992</v>
          </cell>
          <cell r="H891">
            <v>0.18065000000000001</v>
          </cell>
          <cell r="I891">
            <v>1E-3</v>
          </cell>
          <cell r="J891">
            <v>1.4E-3</v>
          </cell>
          <cell r="K891">
            <v>2.0000000000000001E-4</v>
          </cell>
          <cell r="L891">
            <v>1.4080000000000001E-2</v>
          </cell>
          <cell r="M891">
            <v>5.0699999999999999E-3</v>
          </cell>
          <cell r="N891">
            <v>7.2000000000000005E-4</v>
          </cell>
          <cell r="O891">
            <v>2.97E-3</v>
          </cell>
          <cell r="P891">
            <v>8.4499999999999992E-3</v>
          </cell>
          <cell r="Q891">
            <v>9.1699999999999993E-3</v>
          </cell>
          <cell r="R891">
            <v>0.99999999999999989</v>
          </cell>
          <cell r="S891">
            <v>0</v>
          </cell>
        </row>
        <row r="892">
          <cell r="E892" t="str">
            <v>C229</v>
          </cell>
          <cell r="F892">
            <v>1</v>
          </cell>
          <cell r="G892">
            <v>0.76922000000000001</v>
          </cell>
          <cell r="H892">
            <v>0.18268000000000001</v>
          </cell>
          <cell r="I892">
            <v>9.8999999999999999E-4</v>
          </cell>
          <cell r="J892">
            <v>1.4E-3</v>
          </cell>
          <cell r="K892">
            <v>2.1000000000000001E-4</v>
          </cell>
          <cell r="L892">
            <v>1.431E-2</v>
          </cell>
          <cell r="M892">
            <v>5.1200000000000004E-3</v>
          </cell>
          <cell r="N892">
            <v>7.3999999999999999E-4</v>
          </cell>
          <cell r="O892">
            <v>3.0100000000000001E-3</v>
          </cell>
          <cell r="P892">
            <v>1.2930000000000001E-2</v>
          </cell>
          <cell r="Q892">
            <v>9.3900000000000008E-3</v>
          </cell>
          <cell r="R892">
            <v>1</v>
          </cell>
          <cell r="S892">
            <v>0</v>
          </cell>
        </row>
        <row r="893">
          <cell r="E893" t="str">
            <v>NP29</v>
          </cell>
          <cell r="F893">
            <v>1</v>
          </cell>
          <cell r="G893">
            <v>0.77627999999999997</v>
          </cell>
          <cell r="H893">
            <v>0.1797</v>
          </cell>
          <cell r="I893">
            <v>8.5999999999999998E-4</v>
          </cell>
          <cell r="J893">
            <v>1.9E-3</v>
          </cell>
          <cell r="K893">
            <v>1.9000000000000001E-4</v>
          </cell>
          <cell r="L893">
            <v>6.9800000000000001E-3</v>
          </cell>
          <cell r="M893">
            <v>4.8999999999999998E-4</v>
          </cell>
          <cell r="N893">
            <v>5.5000000000000003E-4</v>
          </cell>
          <cell r="O893">
            <v>8.0999999999999996E-4</v>
          </cell>
          <cell r="P893">
            <v>2.46E-2</v>
          </cell>
          <cell r="Q893">
            <v>7.6400000000000001E-3</v>
          </cell>
          <cell r="R893">
            <v>0.99999999999999989</v>
          </cell>
          <cell r="S893">
            <v>0</v>
          </cell>
        </row>
        <row r="896">
          <cell r="E896" t="str">
            <v>W669</v>
          </cell>
          <cell r="F896">
            <v>1</v>
          </cell>
          <cell r="G896">
            <v>0.78581000000000001</v>
          </cell>
          <cell r="H896">
            <v>0.17791000000000001</v>
          </cell>
          <cell r="I896">
            <v>1.0200000000000001E-3</v>
          </cell>
          <cell r="J896">
            <v>1.3799999999999999E-3</v>
          </cell>
          <cell r="K896">
            <v>2.0000000000000001E-4</v>
          </cell>
          <cell r="L896">
            <v>1.3769999999999999E-2</v>
          </cell>
          <cell r="M896">
            <v>4.9899999999999996E-3</v>
          </cell>
          <cell r="N896">
            <v>6.9999999999999999E-4</v>
          </cell>
          <cell r="O896">
            <v>2.9199999999999999E-3</v>
          </cell>
          <cell r="P896">
            <v>2.4299999999999999E-3</v>
          </cell>
          <cell r="Q896">
            <v>8.8699999999999994E-3</v>
          </cell>
          <cell r="R896">
            <v>1.0000000000000002</v>
          </cell>
          <cell r="S896">
            <v>0</v>
          </cell>
        </row>
        <row r="897">
          <cell r="E897" t="str">
            <v>W689</v>
          </cell>
          <cell r="F897">
            <v>1</v>
          </cell>
          <cell r="G897">
            <v>1</v>
          </cell>
          <cell r="H897">
            <v>0</v>
          </cell>
          <cell r="I897">
            <v>0</v>
          </cell>
          <cell r="J897">
            <v>0</v>
          </cell>
          <cell r="K897">
            <v>0</v>
          </cell>
          <cell r="L897">
            <v>0</v>
          </cell>
          <cell r="M897">
            <v>0</v>
          </cell>
          <cell r="N897">
            <v>0</v>
          </cell>
          <cell r="O897">
            <v>0</v>
          </cell>
          <cell r="P897">
            <v>0</v>
          </cell>
          <cell r="Q897">
            <v>0</v>
          </cell>
          <cell r="R897">
            <v>1</v>
          </cell>
          <cell r="S897">
            <v>0</v>
          </cell>
        </row>
        <row r="898">
          <cell r="E898" t="str">
            <v>W719</v>
          </cell>
          <cell r="F898">
            <v>1</v>
          </cell>
          <cell r="G898">
            <v>1</v>
          </cell>
          <cell r="H898">
            <v>0</v>
          </cell>
          <cell r="I898">
            <v>0</v>
          </cell>
          <cell r="J898">
            <v>0</v>
          </cell>
          <cell r="K898">
            <v>0</v>
          </cell>
          <cell r="L898">
            <v>0</v>
          </cell>
          <cell r="M898">
            <v>0</v>
          </cell>
          <cell r="N898">
            <v>0</v>
          </cell>
          <cell r="O898">
            <v>0</v>
          </cell>
          <cell r="P898">
            <v>0</v>
          </cell>
          <cell r="Q898">
            <v>0</v>
          </cell>
          <cell r="R898">
            <v>1</v>
          </cell>
          <cell r="S898">
            <v>0</v>
          </cell>
        </row>
        <row r="899">
          <cell r="E899" t="str">
            <v>W749</v>
          </cell>
          <cell r="F899">
            <v>1</v>
          </cell>
          <cell r="G899">
            <v>1</v>
          </cell>
          <cell r="H899">
            <v>0</v>
          </cell>
          <cell r="I899">
            <v>0</v>
          </cell>
          <cell r="J899">
            <v>0</v>
          </cell>
          <cell r="K899">
            <v>0</v>
          </cell>
          <cell r="L899">
            <v>0</v>
          </cell>
          <cell r="M899">
            <v>0</v>
          </cell>
          <cell r="N899">
            <v>0</v>
          </cell>
          <cell r="O899">
            <v>0</v>
          </cell>
          <cell r="P899">
            <v>0</v>
          </cell>
          <cell r="Q899">
            <v>0</v>
          </cell>
          <cell r="R899">
            <v>1</v>
          </cell>
          <cell r="S899">
            <v>0</v>
          </cell>
        </row>
        <row r="900">
          <cell r="E900" t="str">
            <v>WC79</v>
          </cell>
          <cell r="F900">
            <v>1</v>
          </cell>
          <cell r="G900">
            <v>0.78581000000000001</v>
          </cell>
          <cell r="H900">
            <v>0.17791000000000001</v>
          </cell>
          <cell r="I900">
            <v>1.0200000000000001E-3</v>
          </cell>
          <cell r="J900">
            <v>1.3799999999999999E-3</v>
          </cell>
          <cell r="K900">
            <v>2.0000000000000001E-4</v>
          </cell>
          <cell r="L900">
            <v>1.3769999999999999E-2</v>
          </cell>
          <cell r="M900">
            <v>4.9899999999999996E-3</v>
          </cell>
          <cell r="N900">
            <v>6.9999999999999999E-4</v>
          </cell>
          <cell r="O900">
            <v>2.9199999999999999E-3</v>
          </cell>
          <cell r="P900">
            <v>2.4299999999999999E-3</v>
          </cell>
          <cell r="Q900">
            <v>8.8699999999999994E-3</v>
          </cell>
          <cell r="R900">
            <v>1.0000000000000002</v>
          </cell>
          <cell r="S900">
            <v>0</v>
          </cell>
        </row>
        <row r="903">
          <cell r="E903" t="str">
            <v>RB29</v>
          </cell>
          <cell r="F903">
            <v>1</v>
          </cell>
          <cell r="G903">
            <v>0.78154999999999997</v>
          </cell>
          <cell r="H903">
            <v>0.17621999999999999</v>
          </cell>
          <cell r="I903">
            <v>8.4999999999999995E-4</v>
          </cell>
          <cell r="J903">
            <v>1.8799999999999999E-3</v>
          </cell>
          <cell r="K903">
            <v>1.9000000000000001E-4</v>
          </cell>
          <cell r="L903">
            <v>6.94E-3</v>
          </cell>
          <cell r="M903">
            <v>5.8E-4</v>
          </cell>
          <cell r="N903">
            <v>5.4000000000000001E-4</v>
          </cell>
          <cell r="O903">
            <v>8.3000000000000001E-4</v>
          </cell>
          <cell r="P903">
            <v>2.3060000000000001E-2</v>
          </cell>
          <cell r="Q903">
            <v>7.3600000000000002E-3</v>
          </cell>
          <cell r="R903">
            <v>1</v>
          </cell>
          <cell r="S903">
            <v>0</v>
          </cell>
        </row>
        <row r="904">
          <cell r="E904" t="str">
            <v>RB99</v>
          </cell>
          <cell r="F904">
            <v>1</v>
          </cell>
          <cell r="G904">
            <v>0.78195999999999999</v>
          </cell>
          <cell r="H904">
            <v>0.17638000000000001</v>
          </cell>
          <cell r="I904">
            <v>8.7000000000000001E-4</v>
          </cell>
          <cell r="J904">
            <v>1.83E-3</v>
          </cell>
          <cell r="K904">
            <v>1.9000000000000001E-4</v>
          </cell>
          <cell r="L904">
            <v>7.5799999999999999E-3</v>
          </cell>
          <cell r="M904">
            <v>1E-3</v>
          </cell>
          <cell r="N904">
            <v>5.5000000000000003E-4</v>
          </cell>
          <cell r="O904">
            <v>1.0300000000000001E-3</v>
          </cell>
          <cell r="P904">
            <v>2.1100000000000001E-2</v>
          </cell>
          <cell r="Q904">
            <v>7.5100000000000002E-3</v>
          </cell>
          <cell r="R904">
            <v>1</v>
          </cell>
          <cell r="S904">
            <v>0</v>
          </cell>
        </row>
        <row r="905">
          <cell r="E905" t="str">
            <v>CW29</v>
          </cell>
          <cell r="F905">
            <v>1</v>
          </cell>
          <cell r="G905">
            <v>1</v>
          </cell>
          <cell r="H905">
            <v>0</v>
          </cell>
          <cell r="I905">
            <v>0</v>
          </cell>
          <cell r="J905">
            <v>0</v>
          </cell>
          <cell r="K905">
            <v>0</v>
          </cell>
          <cell r="L905">
            <v>0</v>
          </cell>
          <cell r="M905">
            <v>0</v>
          </cell>
          <cell r="N905">
            <v>0</v>
          </cell>
          <cell r="O905">
            <v>0</v>
          </cell>
          <cell r="P905">
            <v>0</v>
          </cell>
          <cell r="Q905">
            <v>0</v>
          </cell>
          <cell r="R905">
            <v>1</v>
          </cell>
          <cell r="S905">
            <v>0</v>
          </cell>
        </row>
        <row r="907">
          <cell r="R907" t="str">
            <v>FR-16(7)(v)-13</v>
          </cell>
        </row>
        <row r="908">
          <cell r="R908" t="str">
            <v>WITNESS RESPONSIBLE:</v>
          </cell>
        </row>
        <row r="909">
          <cell r="R909" t="str">
            <v>JAMES E. ZIOLKOWSKI</v>
          </cell>
        </row>
        <row r="910">
          <cell r="R910" t="str">
            <v>PAGE 18 OF 18</v>
          </cell>
        </row>
        <row r="913">
          <cell r="F913" t="str">
            <v>TOTAL</v>
          </cell>
          <cell r="H913" t="str">
            <v>DS</v>
          </cell>
          <cell r="I913" t="str">
            <v>GSFL</v>
          </cell>
          <cell r="J913" t="str">
            <v>EH</v>
          </cell>
          <cell r="K913" t="str">
            <v>SP</v>
          </cell>
          <cell r="L913" t="str">
            <v>DT SEC</v>
          </cell>
          <cell r="M913" t="str">
            <v>DT PRI</v>
          </cell>
          <cell r="N913" t="str">
            <v>DP</v>
          </cell>
          <cell r="O913" t="str">
            <v>TT</v>
          </cell>
          <cell r="Q913" t="str">
            <v>OTHER</v>
          </cell>
        </row>
        <row r="914">
          <cell r="F914" t="str">
            <v>DISTRIBUTION</v>
          </cell>
          <cell r="G914" t="str">
            <v>RS</v>
          </cell>
          <cell r="H914" t="str">
            <v>SECONDARY</v>
          </cell>
          <cell r="I914" t="str">
            <v>SECONDARY</v>
          </cell>
          <cell r="J914" t="str">
            <v>SECONDARY</v>
          </cell>
          <cell r="K914" t="str">
            <v>SECONDARY</v>
          </cell>
          <cell r="L914" t="str">
            <v>SECONDARY</v>
          </cell>
          <cell r="M914" t="str">
            <v>PRIMARY</v>
          </cell>
          <cell r="N914" t="str">
            <v>PRIMARY</v>
          </cell>
          <cell r="O914" t="str">
            <v>TRANSMISSION</v>
          </cell>
          <cell r="P914" t="str">
            <v>LT</v>
          </cell>
          <cell r="Q914" t="str">
            <v>WATER</v>
          </cell>
          <cell r="R914" t="str">
            <v>TOTAL</v>
          </cell>
          <cell r="S914" t="str">
            <v>ALL</v>
          </cell>
        </row>
        <row r="915">
          <cell r="E915" t="str">
            <v>ALLO</v>
          </cell>
          <cell r="F915" t="str">
            <v>CUSTOMER</v>
          </cell>
          <cell r="G915" t="str">
            <v>RESIDENTIAL</v>
          </cell>
          <cell r="H915" t="str">
            <v>DISTRIBUTION</v>
          </cell>
          <cell r="I915" t="str">
            <v>DISTRIBUTION</v>
          </cell>
          <cell r="J915" t="str">
            <v>DISTRIBUTION</v>
          </cell>
          <cell r="K915" t="str">
            <v>DISTRIBUTION</v>
          </cell>
          <cell r="L915" t="str">
            <v>DISTRIBUTION</v>
          </cell>
          <cell r="M915" t="str">
            <v>DISTRIBUTION</v>
          </cell>
          <cell r="N915" t="str">
            <v>DISTRIBUTION</v>
          </cell>
          <cell r="O915" t="str">
            <v>TIME OF DAY</v>
          </cell>
          <cell r="P915" t="str">
            <v>LIGHTING</v>
          </cell>
          <cell r="Q915" t="str">
            <v>PUMPING</v>
          </cell>
          <cell r="R915" t="str">
            <v>AT ISSUE</v>
          </cell>
          <cell r="S915" t="str">
            <v>OTHER</v>
          </cell>
        </row>
        <row r="916">
          <cell r="E916">
            <v>1</v>
          </cell>
          <cell r="G916">
            <v>3</v>
          </cell>
          <cell r="H916">
            <v>4</v>
          </cell>
          <cell r="I916">
            <v>5</v>
          </cell>
          <cell r="J916">
            <v>6</v>
          </cell>
          <cell r="K916">
            <v>7</v>
          </cell>
          <cell r="L916">
            <v>8</v>
          </cell>
          <cell r="M916">
            <v>9</v>
          </cell>
          <cell r="N916">
            <v>10</v>
          </cell>
          <cell r="O916">
            <v>11</v>
          </cell>
          <cell r="P916">
            <v>12</v>
          </cell>
          <cell r="Q916">
            <v>13</v>
          </cell>
          <cell r="S916" t="str">
            <v xml:space="preserve"> </v>
          </cell>
        </row>
        <row r="918">
          <cell r="E918" t="str">
            <v>P349</v>
          </cell>
          <cell r="F918">
            <v>1</v>
          </cell>
          <cell r="G918">
            <v>0</v>
          </cell>
          <cell r="H918">
            <v>0</v>
          </cell>
          <cell r="I918">
            <v>0</v>
          </cell>
          <cell r="J918">
            <v>0</v>
          </cell>
          <cell r="K918">
            <v>0</v>
          </cell>
          <cell r="L918">
            <v>0</v>
          </cell>
          <cell r="M918">
            <v>0</v>
          </cell>
          <cell r="N918">
            <v>0</v>
          </cell>
          <cell r="O918">
            <v>0</v>
          </cell>
          <cell r="P918">
            <v>0</v>
          </cell>
          <cell r="Q918">
            <v>0</v>
          </cell>
          <cell r="R918">
            <v>0</v>
          </cell>
          <cell r="S918">
            <v>1</v>
          </cell>
        </row>
        <row r="919">
          <cell r="E919" t="str">
            <v>E349</v>
          </cell>
          <cell r="F919">
            <v>1</v>
          </cell>
          <cell r="G919">
            <v>0</v>
          </cell>
          <cell r="H919">
            <v>0</v>
          </cell>
          <cell r="I919">
            <v>0</v>
          </cell>
          <cell r="J919">
            <v>0</v>
          </cell>
          <cell r="K919">
            <v>0</v>
          </cell>
          <cell r="L919">
            <v>0</v>
          </cell>
          <cell r="M919">
            <v>0</v>
          </cell>
          <cell r="N919">
            <v>0</v>
          </cell>
          <cell r="O919">
            <v>0</v>
          </cell>
          <cell r="P919">
            <v>0</v>
          </cell>
          <cell r="Q919">
            <v>0</v>
          </cell>
          <cell r="R919">
            <v>0</v>
          </cell>
          <cell r="S919">
            <v>1</v>
          </cell>
        </row>
        <row r="920">
          <cell r="E920" t="str">
            <v>P459</v>
          </cell>
          <cell r="F920">
            <v>1</v>
          </cell>
          <cell r="G920">
            <v>0</v>
          </cell>
          <cell r="H920">
            <v>0</v>
          </cell>
          <cell r="I920">
            <v>0</v>
          </cell>
          <cell r="J920">
            <v>0</v>
          </cell>
          <cell r="K920">
            <v>0</v>
          </cell>
          <cell r="L920">
            <v>0</v>
          </cell>
          <cell r="M920">
            <v>0</v>
          </cell>
          <cell r="N920">
            <v>0</v>
          </cell>
          <cell r="O920">
            <v>0</v>
          </cell>
          <cell r="P920">
            <v>0</v>
          </cell>
          <cell r="Q920">
            <v>0</v>
          </cell>
          <cell r="R920">
            <v>0</v>
          </cell>
          <cell r="S920">
            <v>1</v>
          </cell>
        </row>
        <row r="921">
          <cell r="E921" t="str">
            <v>T349</v>
          </cell>
          <cell r="F921">
            <v>1</v>
          </cell>
          <cell r="G921">
            <v>0</v>
          </cell>
          <cell r="H921">
            <v>0</v>
          </cell>
          <cell r="I921">
            <v>0</v>
          </cell>
          <cell r="J921">
            <v>0</v>
          </cell>
          <cell r="K921">
            <v>0</v>
          </cell>
          <cell r="L921">
            <v>0</v>
          </cell>
          <cell r="M921">
            <v>0</v>
          </cell>
          <cell r="N921">
            <v>0</v>
          </cell>
          <cell r="O921">
            <v>0</v>
          </cell>
          <cell r="P921">
            <v>0</v>
          </cell>
          <cell r="Q921">
            <v>0</v>
          </cell>
          <cell r="R921">
            <v>0</v>
          </cell>
          <cell r="S921">
            <v>1</v>
          </cell>
        </row>
        <row r="922">
          <cell r="E922" t="str">
            <v>D349</v>
          </cell>
          <cell r="F922">
            <v>1</v>
          </cell>
          <cell r="G922">
            <v>0.68781999999999999</v>
          </cell>
          <cell r="H922">
            <v>0.12744</v>
          </cell>
          <cell r="I922">
            <v>8.1999999999999998E-4</v>
          </cell>
          <cell r="J922">
            <v>1.0499999999999999E-3</v>
          </cell>
          <cell r="K922">
            <v>1.3999999999999999E-4</v>
          </cell>
          <cell r="L922">
            <v>3.8E-3</v>
          </cell>
          <cell r="M922">
            <v>1.8000000000000001E-4</v>
          </cell>
          <cell r="N922">
            <v>3.1E-4</v>
          </cell>
          <cell r="O922">
            <v>3.8999999999999999E-4</v>
          </cell>
          <cell r="P922">
            <v>0.17369000000000001</v>
          </cell>
          <cell r="Q922">
            <v>4.3600000000000002E-3</v>
          </cell>
          <cell r="R922">
            <v>1</v>
          </cell>
          <cell r="S922">
            <v>0</v>
          </cell>
        </row>
        <row r="923">
          <cell r="E923" t="str">
            <v>C311</v>
          </cell>
          <cell r="F923">
            <v>1</v>
          </cell>
          <cell r="G923">
            <v>0.91503999999999996</v>
          </cell>
          <cell r="H923">
            <v>4.1570000000000003E-2</v>
          </cell>
          <cell r="I923">
            <v>2.7E-4</v>
          </cell>
          <cell r="J923">
            <v>2.9E-4</v>
          </cell>
          <cell r="K923">
            <v>1.0000000000000001E-5</v>
          </cell>
          <cell r="L923">
            <v>2.121E-2</v>
          </cell>
          <cell r="M923">
            <v>1.4200000000000001E-2</v>
          </cell>
          <cell r="N923">
            <v>4.2999999999999999E-4</v>
          </cell>
          <cell r="O923">
            <v>6.11E-3</v>
          </cell>
          <cell r="P923">
            <v>8.7000000000000001E-4</v>
          </cell>
          <cell r="Q923">
            <v>0</v>
          </cell>
          <cell r="R923">
            <v>0.99999999999999989</v>
          </cell>
          <cell r="S923">
            <v>0</v>
          </cell>
        </row>
        <row r="924">
          <cell r="E924" t="str">
            <v>C319</v>
          </cell>
          <cell r="F924">
            <v>1</v>
          </cell>
          <cell r="G924">
            <v>0.72277000000000002</v>
          </cell>
          <cell r="H924">
            <v>0.22478999999999999</v>
          </cell>
          <cell r="I924">
            <v>9.1E-4</v>
          </cell>
          <cell r="J924">
            <v>1.72E-3</v>
          </cell>
          <cell r="K924">
            <v>2.5000000000000001E-4</v>
          </cell>
          <cell r="L924">
            <v>2.0660000000000001E-2</v>
          </cell>
          <cell r="M924">
            <v>7.5599999999999999E-3</v>
          </cell>
          <cell r="N924">
            <v>1.0499999999999999E-3</v>
          </cell>
          <cell r="O924">
            <v>4.4400000000000004E-3</v>
          </cell>
          <cell r="P924">
            <v>2.2200000000000002E-3</v>
          </cell>
          <cell r="Q924">
            <v>1.3650000000000001E-2</v>
          </cell>
          <cell r="R924">
            <v>1.0000199999999999</v>
          </cell>
          <cell r="S924">
            <v>-1.9999999999908979E-5</v>
          </cell>
        </row>
        <row r="925">
          <cell r="E925" t="str">
            <v>C331</v>
          </cell>
          <cell r="F925">
            <v>1</v>
          </cell>
          <cell r="G925">
            <v>0.90183999999999997</v>
          </cell>
          <cell r="H925">
            <v>9.1660000000000005E-2</v>
          </cell>
          <cell r="I925">
            <v>1.2199999999999999E-3</v>
          </cell>
          <cell r="J925">
            <v>7.3999999999999999E-4</v>
          </cell>
          <cell r="K925">
            <v>1.1E-4</v>
          </cell>
          <cell r="L925">
            <v>1.1000000000000001E-3</v>
          </cell>
          <cell r="M925">
            <v>2.5999999999999998E-4</v>
          </cell>
          <cell r="N925">
            <v>6.9999999999999994E-5</v>
          </cell>
          <cell r="O925">
            <v>1.1E-4</v>
          </cell>
          <cell r="P925">
            <v>2.81E-3</v>
          </cell>
          <cell r="Q925">
            <v>8.0000000000000007E-5</v>
          </cell>
          <cell r="R925">
            <v>1</v>
          </cell>
          <cell r="S925">
            <v>0</v>
          </cell>
        </row>
        <row r="926">
          <cell r="E926" t="str">
            <v>S319</v>
          </cell>
          <cell r="F926">
            <v>1</v>
          </cell>
          <cell r="G926">
            <v>0.90183999999999997</v>
          </cell>
          <cell r="H926">
            <v>9.1660000000000005E-2</v>
          </cell>
          <cell r="I926">
            <v>1.2199999999999999E-3</v>
          </cell>
          <cell r="J926">
            <v>7.3999999999999999E-4</v>
          </cell>
          <cell r="K926">
            <v>1.1E-4</v>
          </cell>
          <cell r="L926">
            <v>1.1000000000000001E-3</v>
          </cell>
          <cell r="M926">
            <v>2.5999999999999998E-4</v>
          </cell>
          <cell r="N926">
            <v>6.9999999999999994E-5</v>
          </cell>
          <cell r="O926">
            <v>1.1E-4</v>
          </cell>
          <cell r="P926">
            <v>2.81E-3</v>
          </cell>
          <cell r="Q926">
            <v>8.0000000000000007E-5</v>
          </cell>
          <cell r="R926">
            <v>1</v>
          </cell>
          <cell r="S926">
            <v>0</v>
          </cell>
        </row>
        <row r="927">
          <cell r="E927" t="str">
            <v>OM39</v>
          </cell>
          <cell r="F927">
            <v>1</v>
          </cell>
          <cell r="G927">
            <v>0.74370000000000003</v>
          </cell>
          <cell r="H927">
            <v>0.17321</v>
          </cell>
          <cell r="I927">
            <v>9.3999999999999997E-4</v>
          </cell>
          <cell r="J927">
            <v>1.3500000000000001E-3</v>
          </cell>
          <cell r="K927">
            <v>1.9000000000000001E-4</v>
          </cell>
          <cell r="L927">
            <v>1.2330000000000001E-2</v>
          </cell>
          <cell r="M927">
            <v>4.1399999999999996E-3</v>
          </cell>
          <cell r="N927">
            <v>6.6E-4</v>
          </cell>
          <cell r="O927">
            <v>2.5000000000000001E-3</v>
          </cell>
          <cell r="P927">
            <v>5.2400000000000002E-2</v>
          </cell>
          <cell r="Q927">
            <v>8.5800000000000008E-3</v>
          </cell>
          <cell r="R927">
            <v>1</v>
          </cell>
          <cell r="S927">
            <v>0</v>
          </cell>
        </row>
        <row r="930">
          <cell r="E930" t="str">
            <v>A300</v>
          </cell>
          <cell r="F930">
            <v>1</v>
          </cell>
          <cell r="G930">
            <v>0</v>
          </cell>
          <cell r="H930">
            <v>0</v>
          </cell>
          <cell r="I930">
            <v>0</v>
          </cell>
          <cell r="J930">
            <v>0</v>
          </cell>
          <cell r="K930">
            <v>0</v>
          </cell>
          <cell r="L930">
            <v>0</v>
          </cell>
          <cell r="M930">
            <v>0</v>
          </cell>
          <cell r="N930">
            <v>0</v>
          </cell>
          <cell r="O930">
            <v>0</v>
          </cell>
          <cell r="P930">
            <v>0</v>
          </cell>
          <cell r="Q930">
            <v>0</v>
          </cell>
          <cell r="R930">
            <v>0</v>
          </cell>
          <cell r="S930">
            <v>1</v>
          </cell>
        </row>
        <row r="931">
          <cell r="E931" t="str">
            <v>A302</v>
          </cell>
          <cell r="F931">
            <v>1</v>
          </cell>
          <cell r="G931">
            <v>0</v>
          </cell>
          <cell r="H931">
            <v>0</v>
          </cell>
          <cell r="I931">
            <v>0</v>
          </cell>
          <cell r="J931">
            <v>0</v>
          </cell>
          <cell r="K931">
            <v>0</v>
          </cell>
          <cell r="L931">
            <v>0</v>
          </cell>
          <cell r="M931">
            <v>0</v>
          </cell>
          <cell r="N931">
            <v>0</v>
          </cell>
          <cell r="O931">
            <v>0</v>
          </cell>
          <cell r="P931">
            <v>0</v>
          </cell>
          <cell r="Q931">
            <v>0</v>
          </cell>
          <cell r="R931">
            <v>0</v>
          </cell>
          <cell r="S931">
            <v>1</v>
          </cell>
        </row>
        <row r="932">
          <cell r="E932" t="str">
            <v>A304</v>
          </cell>
          <cell r="F932">
            <v>1</v>
          </cell>
          <cell r="G932">
            <v>0</v>
          </cell>
          <cell r="H932">
            <v>0</v>
          </cell>
          <cell r="I932">
            <v>0</v>
          </cell>
          <cell r="J932">
            <v>0</v>
          </cell>
          <cell r="K932">
            <v>0</v>
          </cell>
          <cell r="L932">
            <v>0</v>
          </cell>
          <cell r="M932">
            <v>0</v>
          </cell>
          <cell r="N932">
            <v>0</v>
          </cell>
          <cell r="O932">
            <v>0</v>
          </cell>
          <cell r="P932">
            <v>0</v>
          </cell>
          <cell r="Q932">
            <v>0</v>
          </cell>
          <cell r="R932">
            <v>0</v>
          </cell>
          <cell r="S932">
            <v>1</v>
          </cell>
        </row>
        <row r="933">
          <cell r="E933" t="str">
            <v>A306</v>
          </cell>
          <cell r="F933">
            <v>1</v>
          </cell>
          <cell r="G933">
            <v>0.68781999999999999</v>
          </cell>
          <cell r="H933">
            <v>0.12744</v>
          </cell>
          <cell r="I933">
            <v>8.1999999999999998E-4</v>
          </cell>
          <cell r="J933">
            <v>1.0499999999999999E-3</v>
          </cell>
          <cell r="K933">
            <v>1.3999999999999999E-4</v>
          </cell>
          <cell r="L933">
            <v>3.8E-3</v>
          </cell>
          <cell r="M933">
            <v>1.8000000000000001E-4</v>
          </cell>
          <cell r="N933">
            <v>3.1E-4</v>
          </cell>
          <cell r="O933">
            <v>3.8999999999999999E-4</v>
          </cell>
          <cell r="P933">
            <v>0.17369000000000001</v>
          </cell>
          <cell r="Q933">
            <v>4.3600000000000002E-3</v>
          </cell>
          <cell r="R933">
            <v>1</v>
          </cell>
          <cell r="S933">
            <v>0</v>
          </cell>
        </row>
        <row r="934">
          <cell r="E934" t="str">
            <v>A308</v>
          </cell>
          <cell r="F934">
            <v>1</v>
          </cell>
          <cell r="G934">
            <v>0.72275</v>
          </cell>
          <cell r="H934">
            <v>0.22478999999999999</v>
          </cell>
          <cell r="I934">
            <v>9.1E-4</v>
          </cell>
          <cell r="J934">
            <v>1.72E-3</v>
          </cell>
          <cell r="K934">
            <v>2.5000000000000001E-4</v>
          </cell>
          <cell r="L934">
            <v>2.0660000000000001E-2</v>
          </cell>
          <cell r="M934">
            <v>7.5599999999999999E-3</v>
          </cell>
          <cell r="N934">
            <v>1.0499999999999999E-3</v>
          </cell>
          <cell r="O934">
            <v>4.4400000000000004E-3</v>
          </cell>
          <cell r="P934">
            <v>2.2200000000000002E-3</v>
          </cell>
          <cell r="Q934">
            <v>1.3650000000000001E-2</v>
          </cell>
          <cell r="R934">
            <v>1</v>
          </cell>
          <cell r="S934">
            <v>0</v>
          </cell>
        </row>
        <row r="935">
          <cell r="E935" t="str">
            <v>A310</v>
          </cell>
          <cell r="F935">
            <v>1</v>
          </cell>
          <cell r="G935">
            <v>0.90183999999999997</v>
          </cell>
          <cell r="H935">
            <v>9.1660000000000005E-2</v>
          </cell>
          <cell r="I935">
            <v>1.2199999999999999E-3</v>
          </cell>
          <cell r="J935">
            <v>7.3999999999999999E-4</v>
          </cell>
          <cell r="K935">
            <v>1.1E-4</v>
          </cell>
          <cell r="L935">
            <v>1.1000000000000001E-3</v>
          </cell>
          <cell r="M935">
            <v>2.5999999999999998E-4</v>
          </cell>
          <cell r="N935">
            <v>6.9999999999999994E-5</v>
          </cell>
          <cell r="O935">
            <v>1.1E-4</v>
          </cell>
          <cell r="P935">
            <v>2.81E-3</v>
          </cell>
          <cell r="Q935">
            <v>8.0000000000000007E-5</v>
          </cell>
          <cell r="R935">
            <v>1</v>
          </cell>
          <cell r="S935">
            <v>0</v>
          </cell>
        </row>
        <row r="936">
          <cell r="E936" t="str">
            <v>A312</v>
          </cell>
          <cell r="F936">
            <v>1</v>
          </cell>
          <cell r="G936">
            <v>0</v>
          </cell>
          <cell r="H936">
            <v>0</v>
          </cell>
          <cell r="I936">
            <v>0</v>
          </cell>
          <cell r="J936">
            <v>0</v>
          </cell>
          <cell r="K936">
            <v>0</v>
          </cell>
          <cell r="L936">
            <v>0</v>
          </cell>
          <cell r="M936">
            <v>0</v>
          </cell>
          <cell r="N936">
            <v>0</v>
          </cell>
          <cell r="O936">
            <v>0</v>
          </cell>
          <cell r="P936">
            <v>0</v>
          </cell>
          <cell r="Q936">
            <v>0</v>
          </cell>
          <cell r="R936">
            <v>0</v>
          </cell>
          <cell r="S936">
            <v>1</v>
          </cell>
        </row>
        <row r="937">
          <cell r="E937" t="str">
            <v>A315</v>
          </cell>
          <cell r="F937">
            <v>1</v>
          </cell>
          <cell r="G937">
            <v>0.72514999999999996</v>
          </cell>
          <cell r="H937">
            <v>0.19531000000000001</v>
          </cell>
          <cell r="I937">
            <v>9.1E-4</v>
          </cell>
          <cell r="J937">
            <v>1.5100000000000001E-3</v>
          </cell>
          <cell r="K937">
            <v>2.2000000000000001E-4</v>
          </cell>
          <cell r="L937">
            <v>1.575E-2</v>
          </cell>
          <cell r="M937">
            <v>5.4900000000000001E-3</v>
          </cell>
          <cell r="N937">
            <v>8.3000000000000001E-4</v>
          </cell>
          <cell r="O937">
            <v>3.2799999999999999E-3</v>
          </cell>
          <cell r="P937">
            <v>4.0759999999999998E-2</v>
          </cell>
          <cell r="Q937">
            <v>1.0789999999999999E-2</v>
          </cell>
          <cell r="R937">
            <v>0.99999999999999989</v>
          </cell>
          <cell r="S937">
            <v>0</v>
          </cell>
        </row>
        <row r="938">
          <cell r="E938" t="str">
            <v>A357</v>
          </cell>
          <cell r="F938">
            <v>1</v>
          </cell>
          <cell r="G938">
            <v>0.72514999999999996</v>
          </cell>
          <cell r="H938">
            <v>0.19531000000000001</v>
          </cell>
          <cell r="I938">
            <v>9.1E-4</v>
          </cell>
          <cell r="J938">
            <v>1.5100000000000001E-3</v>
          </cell>
          <cell r="K938">
            <v>2.2000000000000001E-4</v>
          </cell>
          <cell r="L938">
            <v>1.575E-2</v>
          </cell>
          <cell r="M938">
            <v>5.4900000000000001E-3</v>
          </cell>
          <cell r="N938">
            <v>8.3000000000000001E-4</v>
          </cell>
          <cell r="O938">
            <v>3.2799999999999999E-3</v>
          </cell>
          <cell r="P938">
            <v>4.0759999999999998E-2</v>
          </cell>
          <cell r="Q938">
            <v>1.0789999999999999E-2</v>
          </cell>
          <cell r="R938">
            <v>0.99999999999999989</v>
          </cell>
          <cell r="S938">
            <v>0</v>
          </cell>
        </row>
        <row r="941">
          <cell r="E941" t="str">
            <v>P489</v>
          </cell>
          <cell r="F941">
            <v>1</v>
          </cell>
          <cell r="G941">
            <v>0</v>
          </cell>
          <cell r="H941">
            <v>0</v>
          </cell>
          <cell r="I941">
            <v>0</v>
          </cell>
          <cell r="J941">
            <v>0</v>
          </cell>
          <cell r="K941">
            <v>0</v>
          </cell>
          <cell r="L941">
            <v>0</v>
          </cell>
          <cell r="M941">
            <v>0</v>
          </cell>
          <cell r="N941">
            <v>0</v>
          </cell>
          <cell r="O941">
            <v>0</v>
          </cell>
          <cell r="P941">
            <v>0</v>
          </cell>
          <cell r="Q941">
            <v>0</v>
          </cell>
          <cell r="R941">
            <v>0</v>
          </cell>
          <cell r="S941">
            <v>1</v>
          </cell>
        </row>
        <row r="942">
          <cell r="E942" t="str">
            <v>T489</v>
          </cell>
          <cell r="F942">
            <v>1</v>
          </cell>
          <cell r="G942">
            <v>0</v>
          </cell>
          <cell r="H942">
            <v>0</v>
          </cell>
          <cell r="I942">
            <v>0</v>
          </cell>
          <cell r="J942">
            <v>0</v>
          </cell>
          <cell r="K942">
            <v>0</v>
          </cell>
          <cell r="L942">
            <v>0</v>
          </cell>
          <cell r="M942">
            <v>0</v>
          </cell>
          <cell r="N942">
            <v>0</v>
          </cell>
          <cell r="O942">
            <v>0</v>
          </cell>
          <cell r="P942">
            <v>0</v>
          </cell>
          <cell r="Q942">
            <v>0</v>
          </cell>
          <cell r="R942">
            <v>0</v>
          </cell>
          <cell r="S942">
            <v>1</v>
          </cell>
        </row>
        <row r="943">
          <cell r="E943" t="str">
            <v>D489</v>
          </cell>
          <cell r="F943">
            <v>1</v>
          </cell>
          <cell r="G943">
            <v>0.77629000000000004</v>
          </cell>
          <cell r="H943">
            <v>0.17965999999999999</v>
          </cell>
          <cell r="I943">
            <v>8.5999999999999998E-4</v>
          </cell>
          <cell r="J943">
            <v>1.91E-3</v>
          </cell>
          <cell r="K943">
            <v>1.9000000000000001E-4</v>
          </cell>
          <cell r="L943">
            <v>6.7400000000000003E-3</v>
          </cell>
          <cell r="M943">
            <v>3.3E-4</v>
          </cell>
          <cell r="N943">
            <v>5.5000000000000003E-4</v>
          </cell>
          <cell r="O943">
            <v>7.3999999999999999E-4</v>
          </cell>
          <cell r="P943">
            <v>2.5139999999999999E-2</v>
          </cell>
          <cell r="Q943">
            <v>7.5900000000000004E-3</v>
          </cell>
          <cell r="R943">
            <v>1.0000000000000002</v>
          </cell>
          <cell r="S943">
            <v>0</v>
          </cell>
        </row>
        <row r="944">
          <cell r="E944" t="str">
            <v>G489</v>
          </cell>
          <cell r="F944">
            <v>1</v>
          </cell>
          <cell r="G944">
            <v>0.77629000000000004</v>
          </cell>
          <cell r="H944">
            <v>0.18065000000000001</v>
          </cell>
          <cell r="I944">
            <v>1E-3</v>
          </cell>
          <cell r="J944">
            <v>1.4E-3</v>
          </cell>
          <cell r="K944">
            <v>2.0000000000000001E-4</v>
          </cell>
          <cell r="L944">
            <v>1.4080000000000001E-2</v>
          </cell>
          <cell r="M944">
            <v>5.0699999999999999E-3</v>
          </cell>
          <cell r="N944">
            <v>7.2000000000000005E-4</v>
          </cell>
          <cell r="O944">
            <v>2.97E-3</v>
          </cell>
          <cell r="P944">
            <v>8.4499999999999992E-3</v>
          </cell>
          <cell r="Q944">
            <v>9.1699999999999993E-3</v>
          </cell>
          <cell r="R944">
            <v>1</v>
          </cell>
          <cell r="S944">
            <v>0</v>
          </cell>
        </row>
        <row r="945">
          <cell r="E945" t="str">
            <v>C489</v>
          </cell>
          <cell r="F945">
            <v>1</v>
          </cell>
          <cell r="G945">
            <v>0.76924000000000003</v>
          </cell>
          <cell r="H945">
            <v>0.18267</v>
          </cell>
          <cell r="I945">
            <v>9.8999999999999999E-4</v>
          </cell>
          <cell r="J945">
            <v>1.41E-3</v>
          </cell>
          <cell r="K945">
            <v>2.1000000000000001E-4</v>
          </cell>
          <cell r="L945">
            <v>1.431E-2</v>
          </cell>
          <cell r="M945">
            <v>5.1200000000000004E-3</v>
          </cell>
          <cell r="N945">
            <v>7.5000000000000002E-4</v>
          </cell>
          <cell r="O945">
            <v>3.0000000000000001E-3</v>
          </cell>
          <cell r="P945">
            <v>1.2919999999999999E-2</v>
          </cell>
          <cell r="Q945">
            <v>9.3799999999999994E-3</v>
          </cell>
          <cell r="R945">
            <v>1.0000000000000002</v>
          </cell>
          <cell r="S945">
            <v>0</v>
          </cell>
        </row>
        <row r="946">
          <cell r="E946" t="str">
            <v>DE49</v>
          </cell>
          <cell r="F946">
            <v>1</v>
          </cell>
          <cell r="G946">
            <v>0.77622000000000002</v>
          </cell>
          <cell r="H946">
            <v>0.17979999999999999</v>
          </cell>
          <cell r="I946">
            <v>8.8000000000000003E-4</v>
          </cell>
          <cell r="J946">
            <v>1.8500000000000001E-3</v>
          </cell>
          <cell r="K946">
            <v>1.9000000000000001E-4</v>
          </cell>
          <cell r="L946">
            <v>7.6099999999999996E-3</v>
          </cell>
          <cell r="M946">
            <v>8.8999999999999995E-4</v>
          </cell>
          <cell r="N946">
            <v>5.6999999999999998E-4</v>
          </cell>
          <cell r="O946">
            <v>1E-3</v>
          </cell>
          <cell r="P946">
            <v>2.3210000000000001E-2</v>
          </cell>
          <cell r="Q946">
            <v>7.7799999999999996E-3</v>
          </cell>
          <cell r="R946">
            <v>0.99999999999999989</v>
          </cell>
          <cell r="S946">
            <v>0</v>
          </cell>
        </row>
        <row r="949">
          <cell r="E949" t="str">
            <v>L529</v>
          </cell>
          <cell r="F949">
            <v>1</v>
          </cell>
          <cell r="G949">
            <v>0.77627999999999997</v>
          </cell>
          <cell r="H949">
            <v>0.1797</v>
          </cell>
          <cell r="I949">
            <v>8.5999999999999998E-4</v>
          </cell>
          <cell r="J949">
            <v>1.9E-3</v>
          </cell>
          <cell r="K949">
            <v>1.9000000000000001E-4</v>
          </cell>
          <cell r="L949">
            <v>6.9800000000000001E-3</v>
          </cell>
          <cell r="M949">
            <v>4.8999999999999998E-4</v>
          </cell>
          <cell r="N949">
            <v>5.5000000000000003E-4</v>
          </cell>
          <cell r="O949">
            <v>8.0999999999999996E-4</v>
          </cell>
          <cell r="P949">
            <v>2.46E-2</v>
          </cell>
          <cell r="Q949">
            <v>7.6400000000000001E-3</v>
          </cell>
          <cell r="R949">
            <v>0.99999999999999989</v>
          </cell>
          <cell r="S949">
            <v>0</v>
          </cell>
        </row>
        <row r="950">
          <cell r="E950" t="str">
            <v>L589</v>
          </cell>
          <cell r="F950">
            <v>1</v>
          </cell>
          <cell r="G950">
            <v>0.72516000000000003</v>
          </cell>
          <cell r="H950">
            <v>0.19531000000000001</v>
          </cell>
          <cell r="I950">
            <v>9.1E-4</v>
          </cell>
          <cell r="J950">
            <v>1.5100000000000001E-3</v>
          </cell>
          <cell r="K950">
            <v>2.2000000000000001E-4</v>
          </cell>
          <cell r="L950">
            <v>1.575E-2</v>
          </cell>
          <cell r="M950">
            <v>5.4900000000000001E-3</v>
          </cell>
          <cell r="N950">
            <v>8.3000000000000001E-4</v>
          </cell>
          <cell r="O950">
            <v>3.2799999999999999E-3</v>
          </cell>
          <cell r="P950">
            <v>4.0759999999999998E-2</v>
          </cell>
          <cell r="Q950">
            <v>1.0789999999999999E-2</v>
          </cell>
          <cell r="R950">
            <v>1.0000100000000001</v>
          </cell>
          <cell r="S950">
            <v>-1.0000000000065512E-5</v>
          </cell>
        </row>
        <row r="951">
          <cell r="E951" t="str">
            <v>L599</v>
          </cell>
          <cell r="F951">
            <v>1</v>
          </cell>
          <cell r="G951">
            <v>0.76015999999999995</v>
          </cell>
          <cell r="H951">
            <v>0.18462000000000001</v>
          </cell>
          <cell r="I951">
            <v>8.8000000000000003E-4</v>
          </cell>
          <cell r="J951">
            <v>1.81E-3</v>
          </cell>
          <cell r="K951">
            <v>2.0000000000000001E-4</v>
          </cell>
          <cell r="L951">
            <v>1.0619999999999999E-2</v>
          </cell>
          <cell r="M951">
            <v>2.7699999999999999E-3</v>
          </cell>
          <cell r="N951">
            <v>6.4000000000000005E-4</v>
          </cell>
          <cell r="O951">
            <v>1.8600000000000001E-3</v>
          </cell>
          <cell r="P951">
            <v>2.8139999999999998E-2</v>
          </cell>
          <cell r="Q951">
            <v>8.2799999999999992E-3</v>
          </cell>
          <cell r="R951">
            <v>0.99997999999999976</v>
          </cell>
          <cell r="S951">
            <v>2.0000000000242046E-5</v>
          </cell>
        </row>
        <row r="952">
          <cell r="E952" t="str">
            <v>OP69</v>
          </cell>
          <cell r="F952">
            <v>1</v>
          </cell>
          <cell r="G952">
            <v>0.75383999999999995</v>
          </cell>
          <cell r="H952">
            <v>0.17595</v>
          </cell>
          <cell r="I952">
            <v>9.2000000000000003E-4</v>
          </cell>
          <cell r="J952">
            <v>1.5299999999999999E-3</v>
          </cell>
          <cell r="K952">
            <v>1.9000000000000001E-4</v>
          </cell>
          <cell r="L952">
            <v>1.0919999999999999E-2</v>
          </cell>
          <cell r="M952">
            <v>3.15E-3</v>
          </cell>
          <cell r="N952">
            <v>6.4000000000000005E-4</v>
          </cell>
          <cell r="O952">
            <v>2.0500000000000002E-3</v>
          </cell>
          <cell r="P952">
            <v>4.249E-2</v>
          </cell>
          <cell r="Q952">
            <v>8.3400000000000002E-3</v>
          </cell>
          <cell r="R952">
            <v>1.0000199999999999</v>
          </cell>
          <cell r="S952">
            <v>-1.9999999999908979E-5</v>
          </cell>
        </row>
        <row r="955">
          <cell r="E955" t="str">
            <v>CS09</v>
          </cell>
          <cell r="F955">
            <v>1</v>
          </cell>
          <cell r="G955">
            <v>0.75815877099999995</v>
          </cell>
          <cell r="H955">
            <v>0.17572446999999999</v>
          </cell>
          <cell r="I955">
            <v>9.0881899999999995E-4</v>
          </cell>
          <cell r="J955">
            <v>1.563154E-3</v>
          </cell>
          <cell r="K955">
            <v>1.9256399999999999E-4</v>
          </cell>
          <cell r="L955">
            <v>1.0481371999999999E-2</v>
          </cell>
          <cell r="M955">
            <v>2.8740480000000001E-3</v>
          </cell>
          <cell r="N955">
            <v>6.2373099999999998E-4</v>
          </cell>
          <cell r="O955">
            <v>1.9151870000000001E-3</v>
          </cell>
          <cell r="P955">
            <v>3.9339684999999999E-2</v>
          </cell>
          <cell r="Q955">
            <v>8.2182000000000002E-3</v>
          </cell>
          <cell r="R955">
            <v>1.0000000009999999</v>
          </cell>
          <cell r="S955">
            <v>-9.9999986069576607E-10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6">
          <cell r="F26">
            <v>19741342</v>
          </cell>
        </row>
        <row r="28">
          <cell r="F28">
            <v>4178319049</v>
          </cell>
        </row>
        <row r="38">
          <cell r="D38">
            <v>710084</v>
          </cell>
          <cell r="F38">
            <v>4196163573</v>
          </cell>
        </row>
      </sheetData>
      <sheetData sheetId="31">
        <row r="39">
          <cell r="D39">
            <v>1503360</v>
          </cell>
          <cell r="F39">
            <v>4196163573</v>
          </cell>
          <cell r="H39">
            <v>140014</v>
          </cell>
          <cell r="L39">
            <v>717613</v>
          </cell>
        </row>
      </sheetData>
      <sheetData sheetId="32">
        <row r="27">
          <cell r="E27">
            <v>16048</v>
          </cell>
        </row>
        <row r="40">
          <cell r="E40">
            <v>6350638</v>
          </cell>
          <cell r="H40">
            <v>243058</v>
          </cell>
        </row>
      </sheetData>
      <sheetData sheetId="33">
        <row r="26">
          <cell r="G26">
            <v>9153</v>
          </cell>
        </row>
        <row r="31">
          <cell r="G31">
            <v>1498164.3299999998</v>
          </cell>
        </row>
      </sheetData>
      <sheetData sheetId="34">
        <row r="38">
          <cell r="G38">
            <v>717613</v>
          </cell>
          <cell r="K38">
            <v>717613</v>
          </cell>
        </row>
      </sheetData>
      <sheetData sheetId="35">
        <row r="38">
          <cell r="H38">
            <v>141934</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5">
          <cell r="A15" t="str">
            <v>January</v>
          </cell>
          <cell r="B15">
            <v>157</v>
          </cell>
          <cell r="C15">
            <v>125786</v>
          </cell>
          <cell r="D15">
            <v>1117.2411999999999</v>
          </cell>
          <cell r="E15">
            <v>5.6714000000000002</v>
          </cell>
          <cell r="F15">
            <v>2.4428999999999998</v>
          </cell>
          <cell r="G15" t="str">
            <v>01/18/16-20:00</v>
          </cell>
          <cell r="H15">
            <v>2.4428999999999998</v>
          </cell>
          <cell r="I15" t="str">
            <v>01/18/16-20:00</v>
          </cell>
        </row>
        <row r="17">
          <cell r="A17" t="str">
            <v>February</v>
          </cell>
          <cell r="B17">
            <v>155</v>
          </cell>
          <cell r="C17">
            <v>126055.04644315326</v>
          </cell>
          <cell r="D17">
            <v>979.63440000000003</v>
          </cell>
          <cell r="E17">
            <v>5.9093</v>
          </cell>
          <cell r="F17">
            <v>2.5472000000000001</v>
          </cell>
          <cell r="G17" t="str">
            <v>02/14/16-20:00</v>
          </cell>
          <cell r="H17">
            <v>2.294</v>
          </cell>
          <cell r="I17" t="str">
            <v>02/10/16-20:00</v>
          </cell>
        </row>
        <row r="19">
          <cell r="A19" t="str">
            <v>March</v>
          </cell>
          <cell r="B19">
            <v>157</v>
          </cell>
          <cell r="C19">
            <v>126047</v>
          </cell>
          <cell r="D19">
            <v>804.91129999999998</v>
          </cell>
          <cell r="E19">
            <v>5.6139999999999999</v>
          </cell>
          <cell r="F19">
            <v>1.9932000000000001</v>
          </cell>
          <cell r="G19" t="str">
            <v>03/03/16-21:00</v>
          </cell>
          <cell r="H19">
            <v>1.9004000000000001</v>
          </cell>
          <cell r="I19" t="str">
            <v>03/03/16-20:00</v>
          </cell>
        </row>
        <row r="21">
          <cell r="A21" t="str">
            <v>April</v>
          </cell>
          <cell r="B21">
            <v>157</v>
          </cell>
          <cell r="C21">
            <v>125984</v>
          </cell>
          <cell r="D21">
            <v>697.0258</v>
          </cell>
          <cell r="E21">
            <v>5.2351000000000001</v>
          </cell>
          <cell r="F21">
            <v>1.6243000000000001</v>
          </cell>
          <cell r="G21" t="str">
            <v>04/09/16-10:00</v>
          </cell>
          <cell r="H21">
            <v>1.2686999999999999</v>
          </cell>
          <cell r="I21" t="str">
            <v>04/26/16-16:00</v>
          </cell>
        </row>
        <row r="23">
          <cell r="A23" t="str">
            <v>May</v>
          </cell>
          <cell r="B23">
            <v>157</v>
          </cell>
          <cell r="C23">
            <v>126000</v>
          </cell>
          <cell r="D23">
            <v>804.80229999999995</v>
          </cell>
          <cell r="E23">
            <v>5.7632000000000003</v>
          </cell>
          <cell r="F23">
            <v>2.6785999999999999</v>
          </cell>
          <cell r="G23" t="str">
            <v>05/30/16-19:00</v>
          </cell>
          <cell r="H23">
            <v>2.3050000000000002</v>
          </cell>
          <cell r="I23" t="str">
            <v>05/31/16-16:00</v>
          </cell>
        </row>
        <row r="25">
          <cell r="A25" t="str">
            <v>June</v>
          </cell>
          <cell r="B25">
            <v>142</v>
          </cell>
          <cell r="C25">
            <v>126064</v>
          </cell>
          <cell r="D25">
            <v>1074.9898000000001</v>
          </cell>
          <cell r="E25">
            <v>5.4458000000000002</v>
          </cell>
          <cell r="F25">
            <v>2.7923</v>
          </cell>
          <cell r="G25" t="str">
            <v>06/26/16-19:00</v>
          </cell>
          <cell r="H25">
            <v>2.6469</v>
          </cell>
          <cell r="I25" t="str">
            <v>06/20/16-17:00</v>
          </cell>
        </row>
        <row r="27">
          <cell r="A27" t="str">
            <v>July</v>
          </cell>
          <cell r="B27">
            <v>142</v>
          </cell>
          <cell r="C27">
            <v>126219.00001695615</v>
          </cell>
          <cell r="D27">
            <v>1249.266578104</v>
          </cell>
          <cell r="E27">
            <v>5.6174143860000001</v>
          </cell>
          <cell r="F27">
            <v>3.1050677229999999</v>
          </cell>
          <cell r="G27" t="str">
            <v>07/24/16-17:00</v>
          </cell>
          <cell r="H27">
            <v>2.3698739610000001</v>
          </cell>
          <cell r="I27" t="str">
            <v>07/25/16-14:00</v>
          </cell>
        </row>
        <row r="29">
          <cell r="A29" t="str">
            <v>August</v>
          </cell>
          <cell r="B29">
            <v>153</v>
          </cell>
          <cell r="C29">
            <v>126396.00001513344</v>
          </cell>
          <cell r="D29">
            <v>1241.26281492</v>
          </cell>
          <cell r="E29">
            <v>5.5917250779999996</v>
          </cell>
          <cell r="F29">
            <v>2.8049165619999998</v>
          </cell>
          <cell r="G29" t="str">
            <v>08/11/16-19:00</v>
          </cell>
          <cell r="H29">
            <v>2.4252826660000002</v>
          </cell>
          <cell r="I29" t="str">
            <v>08/11/16-15:00</v>
          </cell>
        </row>
        <row r="31">
          <cell r="A31" t="str">
            <v>September</v>
          </cell>
          <cell r="B31">
            <v>157</v>
          </cell>
          <cell r="C31">
            <v>126628.00001909003</v>
          </cell>
          <cell r="D31">
            <v>1004.458606415</v>
          </cell>
          <cell r="E31">
            <v>5.61757171</v>
          </cell>
          <cell r="F31">
            <v>2.7811891040000001</v>
          </cell>
          <cell r="G31" t="str">
            <v>09/07/16-20:00</v>
          </cell>
          <cell r="H31">
            <v>2.3240133439999999</v>
          </cell>
          <cell r="I31" t="str">
            <v>09/07/16-15:00</v>
          </cell>
        </row>
        <row r="33">
          <cell r="A33" t="str">
            <v>October</v>
          </cell>
          <cell r="B33">
            <v>161</v>
          </cell>
          <cell r="C33">
            <v>126754.0000093784</v>
          </cell>
          <cell r="D33">
            <v>752.122039685</v>
          </cell>
          <cell r="E33">
            <v>5.4179037660000002</v>
          </cell>
          <cell r="F33">
            <v>2.0700786189999998</v>
          </cell>
          <cell r="G33" t="str">
            <v>10/17/16-19:00</v>
          </cell>
          <cell r="H33">
            <v>1.749941414</v>
          </cell>
          <cell r="I33" t="str">
            <v>10/06/16-16:00</v>
          </cell>
        </row>
        <row r="35">
          <cell r="A35" t="str">
            <v>November</v>
          </cell>
          <cell r="B35">
            <v>161</v>
          </cell>
          <cell r="C35">
            <v>126930.99999901481</v>
          </cell>
          <cell r="D35">
            <v>842.52465573300003</v>
          </cell>
          <cell r="E35">
            <v>5.8349654639999997</v>
          </cell>
          <cell r="F35">
            <v>2.0097223259999999</v>
          </cell>
          <cell r="G35" t="str">
            <v>11/19/16-18:00</v>
          </cell>
          <cell r="H35">
            <v>1.8279745439999999</v>
          </cell>
          <cell r="I35" t="str">
            <v>11/22/16-08:00</v>
          </cell>
        </row>
        <row r="37">
          <cell r="A37" t="str">
            <v>December</v>
          </cell>
          <cell r="B37">
            <v>161</v>
          </cell>
          <cell r="C37">
            <v>127221.00000986077</v>
          </cell>
          <cell r="D37">
            <v>1105.120997474</v>
          </cell>
          <cell r="E37">
            <v>5.8932136919999998</v>
          </cell>
          <cell r="F37">
            <v>2.5289056570000001</v>
          </cell>
          <cell r="G37" t="str">
            <v>12/15/16-19:00</v>
          </cell>
          <cell r="H37">
            <v>2.176466263</v>
          </cell>
          <cell r="I37" t="str">
            <v>12/15/16-08:00</v>
          </cell>
        </row>
      </sheetData>
      <sheetData sheetId="53"/>
      <sheetData sheetId="54"/>
      <sheetData sheetId="55"/>
      <sheetData sheetId="56"/>
      <sheetData sheetId="57"/>
      <sheetData sheetId="58"/>
      <sheetData sheetId="59"/>
      <sheetData sheetId="60">
        <row r="13">
          <cell r="D13">
            <v>0.31</v>
          </cell>
          <cell r="F13">
            <v>0.17</v>
          </cell>
          <cell r="H13">
            <v>0.27</v>
          </cell>
        </row>
        <row r="14">
          <cell r="D14">
            <v>0.69</v>
          </cell>
          <cell r="F14">
            <v>0.83</v>
          </cell>
          <cell r="H14">
            <v>0.73</v>
          </cell>
        </row>
      </sheetData>
      <sheetData sheetId="61"/>
      <sheetData sheetId="62"/>
      <sheetData sheetId="63"/>
      <sheetData sheetId="64"/>
      <sheetData sheetId="65">
        <row r="17">
          <cell r="F17">
            <v>38104430</v>
          </cell>
          <cell r="G17">
            <v>18249717</v>
          </cell>
        </row>
        <row r="23">
          <cell r="F23">
            <v>19933975</v>
          </cell>
          <cell r="G23">
            <v>9547168</v>
          </cell>
        </row>
        <row r="29">
          <cell r="F29">
            <v>76365</v>
          </cell>
          <cell r="G29">
            <v>36574</v>
          </cell>
        </row>
      </sheetData>
      <sheetData sheetId="66"/>
      <sheetData sheetId="67">
        <row r="16">
          <cell r="F16">
            <v>31596514</v>
          </cell>
          <cell r="G16">
            <v>14541160</v>
          </cell>
        </row>
        <row r="22">
          <cell r="F22">
            <v>16525048</v>
          </cell>
          <cell r="G22">
            <v>7605060</v>
          </cell>
        </row>
      </sheetData>
      <sheetData sheetId="68"/>
      <sheetData sheetId="69">
        <row r="16">
          <cell r="F16">
            <v>13601159</v>
          </cell>
          <cell r="G16">
            <v>3463460</v>
          </cell>
        </row>
        <row r="22">
          <cell r="F22">
            <v>7113437</v>
          </cell>
          <cell r="G22">
            <v>1811397</v>
          </cell>
        </row>
      </sheetData>
      <sheetData sheetId="70"/>
      <sheetData sheetId="71">
        <row r="16">
          <cell r="F16">
            <v>61772302</v>
          </cell>
          <cell r="G16">
            <v>18008163</v>
          </cell>
        </row>
        <row r="22">
          <cell r="F22">
            <v>18811048</v>
          </cell>
          <cell r="G22">
            <v>5483889</v>
          </cell>
        </row>
        <row r="28">
          <cell r="F28">
            <v>3392978</v>
          </cell>
          <cell r="G28">
            <v>989138</v>
          </cell>
        </row>
      </sheetData>
      <sheetData sheetId="72"/>
      <sheetData sheetId="73">
        <row r="16">
          <cell r="F16">
            <v>28743644</v>
          </cell>
          <cell r="G16">
            <v>7099753</v>
          </cell>
        </row>
        <row r="22">
          <cell r="F22">
            <v>8753083</v>
          </cell>
          <cell r="G22">
            <v>2162034</v>
          </cell>
        </row>
        <row r="28">
          <cell r="F28">
            <v>1578808</v>
          </cell>
          <cell r="G28">
            <v>389969</v>
          </cell>
        </row>
      </sheetData>
      <sheetData sheetId="74"/>
      <sheetData sheetId="75">
        <row r="16">
          <cell r="F16">
            <v>50721079</v>
          </cell>
          <cell r="G16">
            <v>14638113</v>
          </cell>
        </row>
        <row r="22">
          <cell r="F22">
            <v>15203495</v>
          </cell>
          <cell r="G22">
            <v>4387731</v>
          </cell>
        </row>
        <row r="28">
          <cell r="F28">
            <v>554996</v>
          </cell>
          <cell r="G28">
            <v>160172</v>
          </cell>
        </row>
      </sheetData>
      <sheetData sheetId="76"/>
      <sheetData sheetId="77">
        <row r="16">
          <cell r="F16">
            <v>8531757</v>
          </cell>
          <cell r="G16">
            <v>4855066</v>
          </cell>
        </row>
        <row r="22">
          <cell r="F22">
            <v>2557369</v>
          </cell>
          <cell r="G22">
            <v>1455292</v>
          </cell>
        </row>
        <row r="28">
          <cell r="F28">
            <v>93355</v>
          </cell>
          <cell r="G28">
            <v>53125</v>
          </cell>
        </row>
      </sheetData>
      <sheetData sheetId="78"/>
      <sheetData sheetId="79"/>
      <sheetData sheetId="80">
        <row r="12">
          <cell r="D12">
            <v>8795876</v>
          </cell>
          <cell r="E12">
            <v>4910013</v>
          </cell>
          <cell r="F12">
            <v>9654427</v>
          </cell>
          <cell r="G12">
            <v>9493775.4607999995</v>
          </cell>
          <cell r="H12">
            <v>5601657</v>
          </cell>
        </row>
        <row r="13">
          <cell r="D13">
            <v>7707827</v>
          </cell>
          <cell r="E13">
            <v>4302645</v>
          </cell>
          <cell r="F13">
            <v>8460177</v>
          </cell>
          <cell r="G13">
            <v>8319397</v>
          </cell>
          <cell r="H13">
            <v>4908732</v>
          </cell>
        </row>
        <row r="14">
          <cell r="D14">
            <v>1502812</v>
          </cell>
          <cell r="E14">
            <v>838896</v>
          </cell>
          <cell r="F14">
            <v>1649499</v>
          </cell>
          <cell r="G14">
            <v>1622051</v>
          </cell>
          <cell r="H14">
            <v>957066</v>
          </cell>
        </row>
        <row r="15">
          <cell r="D15">
            <v>6663786</v>
          </cell>
          <cell r="E15">
            <v>3719843</v>
          </cell>
          <cell r="F15">
            <v>7314228</v>
          </cell>
          <cell r="G15">
            <v>7192517</v>
          </cell>
          <cell r="H15">
            <v>4243834</v>
          </cell>
        </row>
        <row r="16">
          <cell r="D16">
            <v>3597716</v>
          </cell>
          <cell r="E16">
            <v>2008309</v>
          </cell>
          <cell r="F16">
            <v>3948884</v>
          </cell>
          <cell r="G16">
            <v>3883173</v>
          </cell>
          <cell r="H16">
            <v>2291207</v>
          </cell>
        </row>
        <row r="17">
          <cell r="D17">
            <v>286100</v>
          </cell>
          <cell r="E17">
            <v>159706</v>
          </cell>
          <cell r="F17">
            <v>314026</v>
          </cell>
          <cell r="G17">
            <v>308800</v>
          </cell>
          <cell r="H17">
            <v>182203</v>
          </cell>
        </row>
        <row r="18">
          <cell r="D18">
            <v>0</v>
          </cell>
          <cell r="E18">
            <v>0</v>
          </cell>
          <cell r="F18">
            <v>0</v>
          </cell>
          <cell r="G18">
            <v>0</v>
          </cell>
          <cell r="H18">
            <v>0</v>
          </cell>
        </row>
        <row r="36">
          <cell r="D36">
            <v>0.75</v>
          </cell>
        </row>
      </sheetData>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allocators"/>
      <sheetName val="unbundlerept"/>
      <sheetName val="TotElecRept"/>
      <sheetName val="RUN CLASS DATA"/>
    </sheetNames>
    <sheetDataSet>
      <sheetData sheetId="0">
        <row r="48">
          <cell r="B48" t="str">
            <v>ELECTRIC CASE NO:  2006-00172</v>
          </cell>
        </row>
      </sheetData>
      <sheetData sheetId="1"/>
      <sheetData sheetId="2">
        <row r="1">
          <cell r="A1" t="str">
            <v>DUKE ENERGY KENTUCKY</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Tracking"/>
      <sheetName val="LOGO"/>
      <sheetName val="GOTO"/>
      <sheetName val="PRINT"/>
      <sheetName val="BASE PERIOD"/>
      <sheetName val="BP Actual Exp"/>
      <sheetName val="BP Rev by Product"/>
      <sheetName val="BP Actual Rev"/>
      <sheetName val="FORECASTED PERIOD"/>
      <sheetName val="FP Rev by Product"/>
      <sheetName val="BP vs FP by Acct"/>
      <sheetName val="ALLOCTABLE"/>
      <sheetName val="Rate Case Drivers"/>
      <sheetName val="SCH_A"/>
      <sheetName val="Rate Base Ratios"/>
      <sheetName val="SCH_B1"/>
      <sheetName val="SCH B-2"/>
      <sheetName val="SCH B-2.1"/>
      <sheetName val="SCH B-2.2"/>
      <sheetName val="SCH B-2.3"/>
      <sheetName val="SCH B-2.4"/>
      <sheetName val="SCH B-2.5"/>
      <sheetName val="SCH B-2.6"/>
      <sheetName val="SCH B-2.7"/>
      <sheetName val="SCH B-3"/>
      <sheetName val="SCH B-3.1"/>
      <sheetName val="SCH B-3.2 - Proposed"/>
      <sheetName val="SCH B-4"/>
      <sheetName val="SCH_B5s"/>
      <sheetName val="WPB-5's"/>
      <sheetName val="SCH_B6"/>
      <sheetName val="WPB-6's"/>
      <sheetName val="SCH_B7s"/>
      <sheetName val="SCH_B8"/>
      <sheetName val="SCH_C1"/>
      <sheetName val="SCH_C2"/>
      <sheetName val="WPC_2"/>
      <sheetName val="WPC-2e - Adj Summary"/>
      <sheetName val="SCH_C2.1 - Base Period"/>
      <sheetName val="STAFF-DR-01-029b"/>
      <sheetName val="SCH_C2.1 - Forecasted Period"/>
      <sheetName val="SCH_D1"/>
      <sheetName val="SCH_D2.1"/>
      <sheetName val="SCH_D2.2"/>
      <sheetName val="SCH_D2.3"/>
      <sheetName val="SCH_D2.4"/>
      <sheetName val="SCH_D2.5"/>
      <sheetName val="SCH_D2.6"/>
      <sheetName val="SCH_D2.7"/>
      <sheetName val="SCH_D2.8"/>
      <sheetName val="SCH_D2.9"/>
      <sheetName val="SCH_D2.10"/>
      <sheetName val="SCH_D2.11"/>
      <sheetName val="SCH_D2.12"/>
      <sheetName val="SCH_D2.13"/>
      <sheetName val="SCH_D2.14"/>
      <sheetName val="SCH_D2.15"/>
      <sheetName val="SCH_D2.16"/>
      <sheetName val="SCH_D2.17"/>
      <sheetName val="SCH_D2.18"/>
      <sheetName val="SCH_D2.19"/>
      <sheetName val="SCH_D2.20"/>
      <sheetName val="SCH_D2.21"/>
      <sheetName val="SCH_D2.22"/>
      <sheetName val="SCH_D2.23"/>
      <sheetName val="SCH_D2.24"/>
      <sheetName val="SCH_D2.25"/>
      <sheetName val="SCH_D2.26"/>
      <sheetName val="SCH_D2.27"/>
      <sheetName val="SCH_D2.28"/>
      <sheetName val="SCH_D2.29"/>
      <sheetName val="SCH_D2.30"/>
      <sheetName val="SCH_D2.31"/>
      <sheetName val="SCH_D2.32"/>
      <sheetName val="SCH_D2.33"/>
      <sheetName val="SCH_D2.34"/>
      <sheetName val="SCH_D2.35"/>
      <sheetName val="SCH_D2.36"/>
      <sheetName val="SCH_D2.37"/>
      <sheetName val="SCH_D2.38"/>
      <sheetName val="SCH_D3"/>
      <sheetName val="SCH_D4"/>
      <sheetName val="SCH_D5"/>
      <sheetName val="SCH_E1"/>
      <sheetName val="SCH_E2"/>
      <sheetName val="SCH_F1"/>
      <sheetName val="SCH_F2.1"/>
      <sheetName val="SCH_F2.2"/>
      <sheetName val="SCH_F2.3"/>
      <sheetName val="SCH_F3"/>
      <sheetName val="SCH_F4"/>
      <sheetName val="SCH_F5"/>
      <sheetName val="SCH_F6"/>
      <sheetName val="SCH_F7"/>
      <sheetName val="SCH_G1"/>
      <sheetName val="SCH_G2"/>
      <sheetName val="SCH_G3"/>
      <sheetName val="SCH_H"/>
      <sheetName val="SCH_I1 - Total Co"/>
      <sheetName val="SCH_I1 - Elec Only"/>
      <sheetName val="Staff-DR-01-007"/>
      <sheetName val="Staff-DR-01-031"/>
      <sheetName val="SCH_I2.1"/>
      <sheetName val="Base Period Cust"/>
      <sheetName val="KWH Sales"/>
      <sheetName val="SCH_I3"/>
      <sheetName val="SCH_I4"/>
      <sheetName val="SCH_I5"/>
      <sheetName val="SCH_J1 - Base"/>
      <sheetName val="SCH_J1 - Forecast"/>
      <sheetName val="SCH_J2 - Base"/>
      <sheetName val="SCH_J2 - Forecast"/>
      <sheetName val="SCH_J3 - Base"/>
      <sheetName val="SCH_J3 - Forecast"/>
      <sheetName val="SCH_J4"/>
      <sheetName val="SCH K"/>
      <sheetName val="RB vs Cap FP 16(6)(f)"/>
      <sheetName val="RB vs Cap BP Staff DR"/>
      <sheetName val="SCH B-4.1"/>
      <sheetName val="KPSC Electric SFRs-2017 - Forec"/>
    </sheetNames>
    <definedNames>
      <definedName name="KPSC" refersTo="='LOGO'!$C$24"/>
    </definedNames>
    <sheetDataSet>
      <sheetData sheetId="0"/>
      <sheetData sheetId="1">
        <row r="24">
          <cell r="C24">
            <v>0.06</v>
          </cell>
        </row>
      </sheetData>
      <sheetData sheetId="2"/>
      <sheetData sheetId="3"/>
      <sheetData sheetId="4"/>
      <sheetData sheetId="5"/>
      <sheetData sheetId="6"/>
      <sheetData sheetId="7"/>
      <sheetData sheetId="8"/>
      <sheetData sheetId="9"/>
      <sheetData sheetId="10"/>
      <sheetData sheetId="11"/>
      <sheetData sheetId="12"/>
      <sheetData sheetId="13">
        <row r="17">
          <cell r="I17">
            <v>705051140</v>
          </cell>
        </row>
      </sheetData>
      <sheetData sheetId="14"/>
      <sheetData sheetId="15">
        <row r="18">
          <cell r="I18">
            <v>1730844119</v>
          </cell>
        </row>
      </sheetData>
      <sheetData sheetId="16"/>
      <sheetData sheetId="17">
        <row r="150">
          <cell r="I150">
            <v>37395698</v>
          </cell>
        </row>
        <row r="307">
          <cell r="I307">
            <v>799630884</v>
          </cell>
        </row>
        <row r="348">
          <cell r="I348">
            <v>334147228</v>
          </cell>
        </row>
        <row r="387">
          <cell r="I387">
            <v>65749235</v>
          </cell>
        </row>
        <row r="412">
          <cell r="I412">
            <v>6821750</v>
          </cell>
        </row>
        <row r="414">
          <cell r="I414">
            <v>1381960</v>
          </cell>
        </row>
        <row r="415">
          <cell r="I415">
            <v>37037167</v>
          </cell>
        </row>
        <row r="416">
          <cell r="I416">
            <v>25188158</v>
          </cell>
        </row>
        <row r="424">
          <cell r="I424">
            <v>2393707</v>
          </cell>
        </row>
        <row r="425">
          <cell r="I425">
            <v>15791511</v>
          </cell>
        </row>
        <row r="426">
          <cell r="I426">
            <v>1106006</v>
          </cell>
        </row>
        <row r="428">
          <cell r="I428">
            <v>0</v>
          </cell>
        </row>
        <row r="429">
          <cell r="I429">
            <v>22410553</v>
          </cell>
        </row>
        <row r="430">
          <cell r="I430">
            <v>421102</v>
          </cell>
        </row>
        <row r="431">
          <cell r="I431">
            <v>9647</v>
          </cell>
        </row>
        <row r="432">
          <cell r="I432">
            <v>2640930</v>
          </cell>
        </row>
        <row r="433">
          <cell r="I433">
            <v>3358901</v>
          </cell>
        </row>
        <row r="434">
          <cell r="I434">
            <v>0</v>
          </cell>
        </row>
        <row r="435">
          <cell r="I435">
            <v>0</v>
          </cell>
        </row>
        <row r="436">
          <cell r="I436">
            <v>38933705</v>
          </cell>
        </row>
      </sheetData>
      <sheetData sheetId="18"/>
      <sheetData sheetId="19"/>
      <sheetData sheetId="20"/>
      <sheetData sheetId="21"/>
      <sheetData sheetId="22"/>
      <sheetData sheetId="23"/>
      <sheetData sheetId="24">
        <row r="155">
          <cell r="K155">
            <v>11451597</v>
          </cell>
        </row>
        <row r="319">
          <cell r="K319">
            <v>451443084</v>
          </cell>
        </row>
        <row r="362">
          <cell r="K362">
            <v>169211512</v>
          </cell>
        </row>
        <row r="402">
          <cell r="K402">
            <v>18887171</v>
          </cell>
        </row>
        <row r="428">
          <cell r="K428">
            <v>0</v>
          </cell>
        </row>
        <row r="430">
          <cell r="K430">
            <v>-14376</v>
          </cell>
        </row>
        <row r="431">
          <cell r="K431">
            <v>11863277</v>
          </cell>
        </row>
        <row r="432">
          <cell r="K432">
            <v>10132073</v>
          </cell>
        </row>
        <row r="440">
          <cell r="K440">
            <v>549327</v>
          </cell>
        </row>
        <row r="441">
          <cell r="K441">
            <v>10401944</v>
          </cell>
        </row>
        <row r="442">
          <cell r="K442">
            <v>237877</v>
          </cell>
        </row>
        <row r="444">
          <cell r="K444">
            <v>0</v>
          </cell>
        </row>
        <row r="445">
          <cell r="K445">
            <v>639726</v>
          </cell>
        </row>
        <row r="446">
          <cell r="K446">
            <v>16246</v>
          </cell>
        </row>
        <row r="447">
          <cell r="K447">
            <v>9647</v>
          </cell>
        </row>
        <row r="448">
          <cell r="K448">
            <v>2287522</v>
          </cell>
        </row>
        <row r="449">
          <cell r="K449">
            <v>2556575</v>
          </cell>
        </row>
        <row r="450">
          <cell r="K450">
            <v>0</v>
          </cell>
        </row>
        <row r="451">
          <cell r="K451">
            <v>0</v>
          </cell>
        </row>
        <row r="452">
          <cell r="K452">
            <v>534286</v>
          </cell>
        </row>
        <row r="453">
          <cell r="K453">
            <v>-6653083</v>
          </cell>
        </row>
      </sheetData>
      <sheetData sheetId="25"/>
      <sheetData sheetId="26">
        <row r="44">
          <cell r="L44">
            <v>20334546</v>
          </cell>
        </row>
        <row r="91">
          <cell r="L91">
            <v>11297071</v>
          </cell>
        </row>
        <row r="138">
          <cell r="L138">
            <v>1829174</v>
          </cell>
        </row>
        <row r="196">
          <cell r="L196">
            <v>14391125</v>
          </cell>
        </row>
        <row r="245">
          <cell r="L245">
            <v>2845247</v>
          </cell>
        </row>
        <row r="304">
          <cell r="L304">
            <v>-218467</v>
          </cell>
        </row>
      </sheetData>
      <sheetData sheetId="27"/>
      <sheetData sheetId="28">
        <row r="17">
          <cell r="O17">
            <v>14215407</v>
          </cell>
        </row>
        <row r="27">
          <cell r="O27">
            <v>19946203</v>
          </cell>
        </row>
        <row r="33">
          <cell r="O33">
            <v>0</v>
          </cell>
        </row>
        <row r="35">
          <cell r="O35">
            <v>20474771</v>
          </cell>
        </row>
      </sheetData>
      <sheetData sheetId="29">
        <row r="98">
          <cell r="AC98">
            <v>0</v>
          </cell>
        </row>
        <row r="100">
          <cell r="AC100">
            <v>0</v>
          </cell>
        </row>
        <row r="101">
          <cell r="AC101">
            <v>0</v>
          </cell>
        </row>
      </sheetData>
      <sheetData sheetId="30"/>
      <sheetData sheetId="31">
        <row r="112">
          <cell r="T112">
            <v>8773995</v>
          </cell>
        </row>
        <row r="115">
          <cell r="T115">
            <v>-133527449</v>
          </cell>
        </row>
      </sheetData>
      <sheetData sheetId="32"/>
      <sheetData sheetId="33"/>
      <sheetData sheetId="34">
        <row r="20">
          <cell r="G20">
            <v>36485</v>
          </cell>
        </row>
        <row r="22">
          <cell r="G22">
            <v>97098</v>
          </cell>
        </row>
      </sheetData>
      <sheetData sheetId="35">
        <row r="17">
          <cell r="N17">
            <v>203108561</v>
          </cell>
        </row>
        <row r="25">
          <cell r="N25">
            <v>106892466.40000001</v>
          </cell>
        </row>
        <row r="26">
          <cell r="N26">
            <v>48247780.600000001</v>
          </cell>
        </row>
        <row r="29">
          <cell r="N29">
            <v>19932973</v>
          </cell>
        </row>
        <row r="33">
          <cell r="N33">
            <v>1081198</v>
          </cell>
        </row>
        <row r="34">
          <cell r="N34">
            <v>673076</v>
          </cell>
        </row>
      </sheetData>
      <sheetData sheetId="36"/>
      <sheetData sheetId="37"/>
      <sheetData sheetId="38"/>
      <sheetData sheetId="39"/>
      <sheetData sheetId="40">
        <row r="170">
          <cell r="J170">
            <v>1716657</v>
          </cell>
        </row>
        <row r="175">
          <cell r="J175">
            <v>163986</v>
          </cell>
        </row>
        <row r="176">
          <cell r="J176">
            <v>469682</v>
          </cell>
        </row>
        <row r="177">
          <cell r="J177">
            <v>136438</v>
          </cell>
        </row>
        <row r="180">
          <cell r="J180">
            <v>0</v>
          </cell>
        </row>
        <row r="181">
          <cell r="J181">
            <v>55056</v>
          </cell>
        </row>
        <row r="182">
          <cell r="J182">
            <v>1175448</v>
          </cell>
        </row>
        <row r="183">
          <cell r="J183">
            <v>3656514</v>
          </cell>
        </row>
        <row r="184">
          <cell r="J184">
            <v>65579</v>
          </cell>
        </row>
        <row r="191">
          <cell r="J191">
            <v>419892</v>
          </cell>
        </row>
        <row r="195">
          <cell r="J195">
            <v>372671</v>
          </cell>
        </row>
        <row r="196">
          <cell r="J196">
            <v>309662</v>
          </cell>
        </row>
        <row r="197">
          <cell r="J197">
            <v>0</v>
          </cell>
        </row>
        <row r="219">
          <cell r="J219">
            <v>302389</v>
          </cell>
        </row>
        <row r="220">
          <cell r="J220">
            <v>448743</v>
          </cell>
        </row>
        <row r="221">
          <cell r="J221">
            <v>4350814</v>
          </cell>
        </row>
        <row r="222">
          <cell r="J222">
            <v>-1317889</v>
          </cell>
        </row>
        <row r="223">
          <cell r="J223">
            <v>1965498</v>
          </cell>
        </row>
        <row r="225">
          <cell r="J225">
            <v>999290</v>
          </cell>
        </row>
        <row r="226">
          <cell r="J226">
            <v>0</v>
          </cell>
        </row>
        <row r="294">
          <cell r="J294">
            <v>-82500</v>
          </cell>
        </row>
        <row r="324">
          <cell r="G324">
            <v>0</v>
          </cell>
        </row>
        <row r="326">
          <cell r="G326">
            <v>10714923</v>
          </cell>
        </row>
        <row r="331">
          <cell r="J331">
            <v>2066143</v>
          </cell>
        </row>
      </sheetData>
      <sheetData sheetId="41">
        <row r="223">
          <cell r="W223">
            <v>463931</v>
          </cell>
          <cell r="Y223">
            <v>120538</v>
          </cell>
        </row>
        <row r="281">
          <cell r="W281">
            <v>-3838</v>
          </cell>
          <cell r="Y281">
            <v>-18293</v>
          </cell>
          <cell r="AE281">
            <v>-2321137</v>
          </cell>
        </row>
        <row r="292">
          <cell r="W292">
            <v>-34680</v>
          </cell>
          <cell r="Y292">
            <v>-16879</v>
          </cell>
        </row>
        <row r="343">
          <cell r="AE343">
            <v>-1418703</v>
          </cell>
        </row>
        <row r="347">
          <cell r="AC347">
            <v>6247623</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24">
          <cell r="H24">
            <v>490618</v>
          </cell>
        </row>
      </sheetData>
      <sheetData sheetId="63"/>
      <sheetData sheetId="64"/>
      <sheetData sheetId="65">
        <row r="51">
          <cell r="U51">
            <v>5973380</v>
          </cell>
          <cell r="V51">
            <v>475730</v>
          </cell>
          <cell r="W51">
            <v>2311379</v>
          </cell>
          <cell r="X51">
            <v>-2605588</v>
          </cell>
          <cell r="Y51">
            <v>-218467</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23">
          <cell r="Q23">
            <v>-14435959</v>
          </cell>
        </row>
        <row r="25">
          <cell r="Q25">
            <v>1158877</v>
          </cell>
        </row>
        <row r="29">
          <cell r="Q29">
            <v>-38648262</v>
          </cell>
        </row>
        <row r="32">
          <cell r="Q32">
            <v>-26140183</v>
          </cell>
        </row>
        <row r="66">
          <cell r="Q66">
            <v>55679195.225511841</v>
          </cell>
        </row>
        <row r="77">
          <cell r="Q77">
            <v>0</v>
          </cell>
        </row>
        <row r="107">
          <cell r="Q107">
            <v>577601.69101511547</v>
          </cell>
        </row>
        <row r="123">
          <cell r="Q123">
            <v>22505538</v>
          </cell>
        </row>
        <row r="124">
          <cell r="Q124">
            <v>38306.308984884527</v>
          </cell>
        </row>
        <row r="128">
          <cell r="Q128">
            <v>-11316</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7">
          <cell r="G17">
            <v>522765867</v>
          </cell>
          <cell r="K17">
            <v>0.10299999999999999</v>
          </cell>
        </row>
        <row r="18">
          <cell r="G18">
            <v>434934967</v>
          </cell>
          <cell r="K18">
            <v>4.2430000000000002E-2</v>
          </cell>
        </row>
        <row r="19">
          <cell r="G19">
            <v>111491538</v>
          </cell>
          <cell r="K19">
            <v>3.083E-2</v>
          </cell>
        </row>
      </sheetData>
      <sheetData sheetId="110"/>
      <sheetData sheetId="111"/>
      <sheetData sheetId="112"/>
      <sheetData sheetId="113"/>
      <sheetData sheetId="114"/>
      <sheetData sheetId="115"/>
      <sheetData sheetId="116"/>
      <sheetData sheetId="117"/>
      <sheetData sheetId="118" refreshError="1"/>
      <sheetData sheetId="1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Q978"/>
  <sheetViews>
    <sheetView zoomScaleNormal="100" workbookViewId="0">
      <selection activeCell="L3" sqref="L3"/>
    </sheetView>
  </sheetViews>
  <sheetFormatPr defaultColWidth="8.81640625" defaultRowHeight="13.2"/>
  <cols>
    <col min="1" max="1" width="6.453125" style="1" customWidth="1"/>
    <col min="2" max="2" width="2" style="1" customWidth="1"/>
    <col min="3" max="3" width="43.08984375" style="3" customWidth="1"/>
    <col min="4" max="4" width="7.54296875" style="4" customWidth="1"/>
    <col min="5" max="5" width="8.81640625" style="3" customWidth="1"/>
    <col min="6" max="6" width="15.1796875" style="286" customWidth="1"/>
    <col min="7" max="7" width="11.90625" style="1" customWidth="1"/>
    <col min="8" max="8" width="12.6328125" style="1" customWidth="1"/>
    <col min="9" max="9" width="13" style="1" customWidth="1"/>
    <col min="10" max="11" width="11.90625" style="1" customWidth="1"/>
    <col min="12" max="12" width="11.90625" style="286" customWidth="1"/>
    <col min="13" max="13" width="10.36328125" style="308" bestFit="1" customWidth="1"/>
    <col min="14" max="14" width="11.81640625" style="1" customWidth="1"/>
    <col min="15" max="15" width="11" style="1" customWidth="1"/>
    <col min="16" max="16" width="8.81640625" style="1"/>
    <col min="17" max="17" width="21.1796875" style="1" customWidth="1"/>
    <col min="18" max="18" width="9" style="1" bestFit="1" customWidth="1"/>
    <col min="19" max="16384" width="8.81640625" style="1"/>
  </cols>
  <sheetData>
    <row r="1" spans="1:13">
      <c r="A1" s="67" t="str">
        <f>co_name</f>
        <v>DUKE ENERGY KENTUCKY, INC.</v>
      </c>
      <c r="C1" s="32"/>
      <c r="D1" s="12"/>
      <c r="E1" s="32"/>
      <c r="F1" s="253"/>
      <c r="G1" s="27"/>
      <c r="H1" s="27"/>
      <c r="I1" s="27"/>
      <c r="J1" s="27" t="s">
        <v>596</v>
      </c>
      <c r="K1" s="27"/>
      <c r="L1" s="392" t="s">
        <v>707</v>
      </c>
    </row>
    <row r="2" spans="1:13">
      <c r="A2" s="252" t="s">
        <v>595</v>
      </c>
      <c r="C2" s="32"/>
      <c r="D2" s="12"/>
      <c r="E2" s="32"/>
      <c r="F2" s="253"/>
      <c r="G2" s="27"/>
      <c r="H2" s="27"/>
      <c r="I2" s="27"/>
      <c r="J2" s="27" t="s">
        <v>594</v>
      </c>
      <c r="K2" s="27"/>
      <c r="L2" s="392" t="s">
        <v>705</v>
      </c>
    </row>
    <row r="3" spans="1:13">
      <c r="A3" s="67" t="str">
        <f>case_name</f>
        <v>CASE NO: 2017-00321</v>
      </c>
      <c r="C3" s="32"/>
      <c r="D3" s="12"/>
      <c r="E3" s="32"/>
      <c r="F3" s="253"/>
      <c r="G3" s="27"/>
      <c r="H3" s="27"/>
      <c r="I3" s="27"/>
      <c r="J3" s="27" t="str">
        <f>Witness</f>
        <v>JAMES E. ZIOLKOWSKI</v>
      </c>
      <c r="K3" s="27"/>
      <c r="L3" s="398" t="s">
        <v>711</v>
      </c>
    </row>
    <row r="4" spans="1:13">
      <c r="A4" s="67" t="str">
        <f>data_filing</f>
        <v>DATA: 12 MONTHS ACTUAL  &amp; 0 MONTHS ESTIMATED</v>
      </c>
      <c r="C4" s="32"/>
      <c r="D4" s="12"/>
      <c r="E4" s="32"/>
      <c r="F4" s="251" t="s">
        <v>708</v>
      </c>
      <c r="G4" s="251"/>
      <c r="H4" s="251"/>
      <c r="I4" s="27"/>
      <c r="J4" s="27" t="str">
        <f>"PAGE "&amp;Pages-17&amp;" OF "&amp;Pages</f>
        <v>PAGE 1 OF 18</v>
      </c>
      <c r="K4" s="27"/>
      <c r="L4" s="253"/>
    </row>
    <row r="5" spans="1:13" ht="13.8" thickBot="1">
      <c r="A5" s="67" t="str">
        <f>type</f>
        <v xml:space="preserve">TYPE OF FILING: "X" ORIGINAL   UPDATED    REVISED  </v>
      </c>
      <c r="C5" s="32"/>
      <c r="D5" s="12"/>
      <c r="E5" s="32"/>
      <c r="F5" s="253"/>
      <c r="G5" s="27"/>
      <c r="H5" s="27"/>
      <c r="I5" s="27"/>
      <c r="J5" s="27"/>
      <c r="K5" s="27"/>
      <c r="L5" s="253"/>
    </row>
    <row r="6" spans="1:13">
      <c r="A6" s="67"/>
      <c r="C6" s="32"/>
      <c r="D6" s="12"/>
      <c r="E6" s="32"/>
      <c r="F6" s="254" t="s">
        <v>593</v>
      </c>
      <c r="G6" s="27"/>
      <c r="H6" s="27"/>
      <c r="I6" s="27"/>
      <c r="J6" s="27"/>
      <c r="K6" s="27"/>
      <c r="L6" s="253"/>
    </row>
    <row r="7" spans="1:13">
      <c r="A7" s="67"/>
      <c r="C7" s="32"/>
      <c r="D7" s="12"/>
      <c r="E7" s="32"/>
      <c r="F7" s="255" t="s">
        <v>592</v>
      </c>
      <c r="G7" s="27"/>
      <c r="H7" s="27"/>
      <c r="I7" s="27"/>
      <c r="J7" s="27"/>
      <c r="K7" s="27"/>
      <c r="L7" s="253" t="s">
        <v>591</v>
      </c>
      <c r="M7" s="309" t="s">
        <v>590</v>
      </c>
    </row>
    <row r="8" spans="1:13">
      <c r="A8" s="8" t="s">
        <v>91</v>
      </c>
      <c r="B8" s="27"/>
      <c r="C8" s="32"/>
      <c r="D8" s="12"/>
      <c r="E8" s="32"/>
      <c r="F8" s="256" t="s">
        <v>1</v>
      </c>
      <c r="G8" s="250" t="s">
        <v>90</v>
      </c>
      <c r="H8" s="250"/>
      <c r="I8" s="249"/>
      <c r="J8" s="8" t="s">
        <v>1</v>
      </c>
      <c r="K8" s="8" t="s">
        <v>89</v>
      </c>
      <c r="L8" s="284" t="s">
        <v>1</v>
      </c>
    </row>
    <row r="9" spans="1:13">
      <c r="A9" s="57" t="s">
        <v>88</v>
      </c>
      <c r="B9" s="145" t="s">
        <v>589</v>
      </c>
      <c r="C9" s="62"/>
      <c r="D9" s="56" t="s">
        <v>85</v>
      </c>
      <c r="E9" s="62"/>
      <c r="F9" s="257" t="s">
        <v>82</v>
      </c>
      <c r="G9" s="248" t="s">
        <v>273</v>
      </c>
      <c r="H9" s="248" t="s">
        <v>370</v>
      </c>
      <c r="I9" s="247" t="s">
        <v>271</v>
      </c>
      <c r="J9" s="57" t="s">
        <v>84</v>
      </c>
      <c r="K9" s="57" t="s">
        <v>83</v>
      </c>
      <c r="L9" s="310" t="s">
        <v>82</v>
      </c>
    </row>
    <row r="10" spans="1:13">
      <c r="C10" s="144" t="s">
        <v>588</v>
      </c>
      <c r="D10" s="12"/>
      <c r="E10" s="32"/>
      <c r="F10" s="258"/>
      <c r="G10" s="246">
        <v>3</v>
      </c>
      <c r="H10" s="246">
        <v>4</v>
      </c>
      <c r="I10" s="245">
        <v>5</v>
      </c>
    </row>
    <row r="11" spans="1:13">
      <c r="A11" s="137">
        <v>1</v>
      </c>
      <c r="B11" s="1" t="s">
        <v>587</v>
      </c>
      <c r="D11" s="12"/>
      <c r="E11" s="32"/>
      <c r="F11" s="258"/>
      <c r="G11" s="40"/>
      <c r="H11" s="40"/>
      <c r="I11" s="39"/>
    </row>
    <row r="12" spans="1:13">
      <c r="A12" s="137">
        <v>2</v>
      </c>
      <c r="C12" s="3" t="s">
        <v>146</v>
      </c>
      <c r="D12" s="12"/>
      <c r="E12" s="32"/>
      <c r="F12" s="259">
        <f>F107</f>
        <v>1730844119</v>
      </c>
      <c r="G12" s="35">
        <f>G107</f>
        <v>1178879930</v>
      </c>
      <c r="H12" s="35">
        <f>H107</f>
        <v>68978819</v>
      </c>
      <c r="I12" s="34">
        <f>I107</f>
        <v>482985370</v>
      </c>
      <c r="J12" s="146">
        <f>SUM(G12:I12)</f>
        <v>1730844119</v>
      </c>
      <c r="K12" s="146">
        <f>F12-J12</f>
        <v>0</v>
      </c>
      <c r="L12" s="298">
        <v>1730844119</v>
      </c>
      <c r="M12" s="308">
        <f t="shared" ref="M12:M75" si="0">L12-F12</f>
        <v>0</v>
      </c>
    </row>
    <row r="13" spans="1:13">
      <c r="A13" s="137">
        <v>3</v>
      </c>
      <c r="C13" s="3" t="s">
        <v>562</v>
      </c>
      <c r="D13" s="12"/>
      <c r="E13" s="32"/>
      <c r="F13" s="259">
        <f>-F184</f>
        <v>-846148393.46079993</v>
      </c>
      <c r="G13" s="35">
        <f>-G184</f>
        <v>-660179904.46080005</v>
      </c>
      <c r="H13" s="35">
        <f>-H184</f>
        <v>-21686845</v>
      </c>
      <c r="I13" s="34">
        <f>-I184</f>
        <v>-170934727</v>
      </c>
      <c r="J13" s="146">
        <f>SUM(G13:I13)</f>
        <v>-852801476.46080005</v>
      </c>
      <c r="K13" s="146">
        <f>F13-J13</f>
        <v>6653083.0000001192</v>
      </c>
      <c r="L13" s="298">
        <v>-846148393.46079993</v>
      </c>
      <c r="M13" s="308">
        <f t="shared" si="0"/>
        <v>0</v>
      </c>
    </row>
    <row r="14" spans="1:13">
      <c r="A14" s="137">
        <v>4</v>
      </c>
      <c r="C14" s="154" t="s">
        <v>436</v>
      </c>
      <c r="D14" s="12"/>
      <c r="E14" s="32"/>
      <c r="F14" s="259">
        <f>F405</f>
        <v>-204323160</v>
      </c>
      <c r="G14" s="35">
        <f>G405</f>
        <v>-70398024</v>
      </c>
      <c r="H14" s="35">
        <f>H405</f>
        <v>-10015697</v>
      </c>
      <c r="I14" s="34">
        <f>I405</f>
        <v>-123909439</v>
      </c>
      <c r="J14" s="146">
        <f>SUM(G14:I14)</f>
        <v>-204323160</v>
      </c>
      <c r="K14" s="146">
        <f>F14-J14</f>
        <v>0</v>
      </c>
      <c r="L14" s="298">
        <v>-204323160</v>
      </c>
      <c r="M14" s="308">
        <f t="shared" si="0"/>
        <v>0</v>
      </c>
    </row>
    <row r="15" spans="1:13">
      <c r="A15" s="137">
        <v>5</v>
      </c>
      <c r="C15" s="3" t="s">
        <v>435</v>
      </c>
      <c r="D15" s="12"/>
      <c r="E15" s="32"/>
      <c r="F15" s="260">
        <f t="shared" ref="F15:K15" si="1">SUM(F12:F14)</f>
        <v>680372565.53920007</v>
      </c>
      <c r="G15" s="151">
        <f t="shared" si="1"/>
        <v>448302001.53919995</v>
      </c>
      <c r="H15" s="151">
        <f t="shared" si="1"/>
        <v>37276277</v>
      </c>
      <c r="I15" s="150">
        <f t="shared" si="1"/>
        <v>188141204</v>
      </c>
      <c r="J15" s="5">
        <f t="shared" si="1"/>
        <v>673719482.53919995</v>
      </c>
      <c r="K15" s="5">
        <f t="shared" si="1"/>
        <v>6653083.0000001192</v>
      </c>
      <c r="L15" s="307">
        <v>680372565.53920007</v>
      </c>
      <c r="M15" s="308">
        <f t="shared" si="0"/>
        <v>0</v>
      </c>
    </row>
    <row r="16" spans="1:13">
      <c r="A16" s="137">
        <v>6</v>
      </c>
      <c r="D16" s="12"/>
      <c r="E16" s="32"/>
      <c r="F16" s="261"/>
      <c r="G16" s="172"/>
      <c r="H16" s="172"/>
      <c r="I16" s="171"/>
      <c r="J16" s="85"/>
      <c r="L16" s="300"/>
      <c r="M16" s="308">
        <f t="shared" si="0"/>
        <v>0</v>
      </c>
    </row>
    <row r="17" spans="1:13">
      <c r="A17" s="137">
        <v>7</v>
      </c>
      <c r="B17" s="1" t="s">
        <v>586</v>
      </c>
      <c r="D17" s="12"/>
      <c r="E17" s="32"/>
      <c r="F17" s="261"/>
      <c r="G17" s="172"/>
      <c r="H17" s="172"/>
      <c r="I17" s="171"/>
      <c r="J17" s="85"/>
      <c r="L17" s="300"/>
      <c r="M17" s="308">
        <f t="shared" si="0"/>
        <v>0</v>
      </c>
    </row>
    <row r="18" spans="1:13">
      <c r="A18" s="137">
        <v>8</v>
      </c>
      <c r="C18" s="3" t="s">
        <v>321</v>
      </c>
      <c r="D18" s="12"/>
      <c r="E18" s="32"/>
      <c r="F18" s="259">
        <f>F533</f>
        <v>220652209</v>
      </c>
      <c r="G18" s="35">
        <f>G533</f>
        <v>170336881</v>
      </c>
      <c r="H18" s="35">
        <f>H533</f>
        <v>22973313</v>
      </c>
      <c r="I18" s="34">
        <f>I533</f>
        <v>27342015</v>
      </c>
      <c r="J18" s="146">
        <f>SUM(G18:I18)</f>
        <v>220652209</v>
      </c>
      <c r="K18" s="146">
        <f t="shared" ref="K18:K26" si="2">F18-J18</f>
        <v>0</v>
      </c>
      <c r="L18" s="298">
        <v>220652209</v>
      </c>
      <c r="M18" s="308">
        <f t="shared" si="0"/>
        <v>0</v>
      </c>
    </row>
    <row r="19" spans="1:13">
      <c r="A19" s="137">
        <v>9</v>
      </c>
      <c r="C19" s="3" t="s">
        <v>320</v>
      </c>
      <c r="D19" s="12"/>
      <c r="E19" s="32"/>
      <c r="F19" s="259">
        <f>F566</f>
        <v>50969314</v>
      </c>
      <c r="G19" s="35">
        <f>G566</f>
        <v>33884948</v>
      </c>
      <c r="H19" s="35">
        <f>H566</f>
        <v>1996775</v>
      </c>
      <c r="I19" s="34">
        <f>I566</f>
        <v>15087591</v>
      </c>
      <c r="J19" s="146">
        <f>SUM(G19:I19)</f>
        <v>50969314</v>
      </c>
      <c r="K19" s="146">
        <f t="shared" si="2"/>
        <v>0</v>
      </c>
      <c r="L19" s="298">
        <v>50969314</v>
      </c>
      <c r="M19" s="308">
        <f t="shared" si="0"/>
        <v>0</v>
      </c>
    </row>
    <row r="20" spans="1:13">
      <c r="A20" s="137">
        <v>10</v>
      </c>
      <c r="C20" s="154" t="s">
        <v>319</v>
      </c>
      <c r="D20" s="12"/>
      <c r="E20" s="32"/>
      <c r="F20" s="259">
        <f>F596</f>
        <v>12826605</v>
      </c>
      <c r="G20" s="35">
        <f>G596</f>
        <v>7522053</v>
      </c>
      <c r="H20" s="35">
        <f>H596</f>
        <v>684423</v>
      </c>
      <c r="I20" s="34">
        <f>I596</f>
        <v>4620129</v>
      </c>
      <c r="J20" s="146">
        <f>SUM(G20:I20)</f>
        <v>12826605</v>
      </c>
      <c r="K20" s="146">
        <f t="shared" si="2"/>
        <v>0</v>
      </c>
      <c r="L20" s="298">
        <v>12826605</v>
      </c>
      <c r="M20" s="308">
        <f t="shared" si="0"/>
        <v>0</v>
      </c>
    </row>
    <row r="21" spans="1:13">
      <c r="A21" s="137">
        <v>11</v>
      </c>
      <c r="C21" s="3" t="s">
        <v>585</v>
      </c>
      <c r="D21" s="12"/>
      <c r="E21" s="32"/>
      <c r="F21" s="260">
        <f>SUM(F17:F20)</f>
        <v>284448128</v>
      </c>
      <c r="G21" s="151">
        <f>SUM(G17:G20)</f>
        <v>211743882</v>
      </c>
      <c r="H21" s="151">
        <f>SUM(H17:H20)</f>
        <v>25654511</v>
      </c>
      <c r="I21" s="150">
        <f>SUM(I17:I20)</f>
        <v>47049735</v>
      </c>
      <c r="J21" s="5">
        <f>SUM(J17:J20)</f>
        <v>284448128</v>
      </c>
      <c r="K21" s="5">
        <f t="shared" si="2"/>
        <v>0</v>
      </c>
      <c r="L21" s="307">
        <v>284448128</v>
      </c>
      <c r="M21" s="308">
        <f t="shared" si="0"/>
        <v>0</v>
      </c>
    </row>
    <row r="22" spans="1:13">
      <c r="A22" s="137">
        <v>12</v>
      </c>
      <c r="C22" s="3" t="s">
        <v>584</v>
      </c>
      <c r="D22" s="12"/>
      <c r="E22" s="32"/>
      <c r="F22" s="259">
        <f>F660</f>
        <v>9803786.1089848839</v>
      </c>
      <c r="G22" s="35">
        <f>G660</f>
        <v>8275039</v>
      </c>
      <c r="H22" s="35">
        <f>H660</f>
        <v>1645644</v>
      </c>
      <c r="I22" s="34">
        <f>I660</f>
        <v>-117032</v>
      </c>
      <c r="J22" s="146">
        <f>SUM(G22:I22)</f>
        <v>9803651</v>
      </c>
      <c r="K22" s="146">
        <f t="shared" si="2"/>
        <v>135.10898488387465</v>
      </c>
      <c r="L22" s="298">
        <v>19831268.308984883</v>
      </c>
      <c r="M22" s="308">
        <f t="shared" si="0"/>
        <v>10027482.199999999</v>
      </c>
    </row>
    <row r="23" spans="1:13">
      <c r="A23" s="137">
        <v>13</v>
      </c>
      <c r="B23" s="3"/>
      <c r="C23" s="3" t="s">
        <v>583</v>
      </c>
      <c r="D23" s="12"/>
      <c r="E23" s="32"/>
      <c r="F23" s="259">
        <f>F706</f>
        <v>2719742.6910151155</v>
      </c>
      <c r="G23" s="35">
        <f>G706</f>
        <v>1596212.6910151155</v>
      </c>
      <c r="H23" s="35">
        <f>H706</f>
        <v>263230</v>
      </c>
      <c r="I23" s="34">
        <f>I706</f>
        <v>860300</v>
      </c>
      <c r="J23" s="146">
        <f>SUM(G23:I23)</f>
        <v>2719742.6910151155</v>
      </c>
      <c r="K23" s="10">
        <f t="shared" si="2"/>
        <v>0</v>
      </c>
      <c r="L23" s="298">
        <v>3285999.6910151155</v>
      </c>
      <c r="M23" s="308">
        <f t="shared" si="0"/>
        <v>566257</v>
      </c>
    </row>
    <row r="24" spans="1:13">
      <c r="A24" s="137">
        <v>14</v>
      </c>
      <c r="B24" s="3"/>
      <c r="C24" s="3" t="s">
        <v>221</v>
      </c>
      <c r="D24" s="13" t="s">
        <v>92</v>
      </c>
      <c r="E24" s="32"/>
      <c r="F24" s="262">
        <f>-[4]SCH_D2.21!$U$48</f>
        <v>0</v>
      </c>
      <c r="G24" s="35">
        <f>F24-SUM(H24:I24)</f>
        <v>0</v>
      </c>
      <c r="H24" s="35">
        <f>ROUND(F24*VLOOKUP(D24,ALLOCTABLE_FUNCTIONAL,$H$10,FALSE),0)</f>
        <v>0</v>
      </c>
      <c r="I24" s="34">
        <f>ROUND(F24*VLOOKUP(D24,ALLOCTABLE_FUNCTIONAL,$I$10,FALSE),0)</f>
        <v>0</v>
      </c>
      <c r="J24" s="146">
        <f>SUM(G24:I24)</f>
        <v>0</v>
      </c>
      <c r="K24" s="10">
        <f t="shared" si="2"/>
        <v>0</v>
      </c>
      <c r="L24" s="287">
        <v>0</v>
      </c>
      <c r="M24" s="308">
        <f t="shared" si="0"/>
        <v>0</v>
      </c>
    </row>
    <row r="25" spans="1:13">
      <c r="A25" s="137">
        <v>15</v>
      </c>
      <c r="C25" s="154" t="s">
        <v>582</v>
      </c>
      <c r="D25" s="12"/>
      <c r="E25" s="32"/>
      <c r="F25" s="259">
        <f>F751</f>
        <v>0</v>
      </c>
      <c r="G25" s="35">
        <f>G751</f>
        <v>0</v>
      </c>
      <c r="H25" s="35">
        <f>H751</f>
        <v>0</v>
      </c>
      <c r="I25" s="34">
        <f>I751</f>
        <v>0</v>
      </c>
      <c r="J25" s="146">
        <f>SUM(G25:I25)</f>
        <v>0</v>
      </c>
      <c r="K25" s="146">
        <f t="shared" si="2"/>
        <v>0</v>
      </c>
      <c r="L25" s="298">
        <v>0</v>
      </c>
      <c r="M25" s="308">
        <f t="shared" si="0"/>
        <v>0</v>
      </c>
    </row>
    <row r="26" spans="1:13">
      <c r="A26" s="137">
        <v>16</v>
      </c>
      <c r="C26" s="3" t="s">
        <v>581</v>
      </c>
      <c r="D26" s="12"/>
      <c r="E26" s="170"/>
      <c r="F26" s="260">
        <f>SUM(F21:F25)</f>
        <v>296971656.80000001</v>
      </c>
      <c r="G26" s="151">
        <f>SUM(G21:G25)</f>
        <v>221615133.69101512</v>
      </c>
      <c r="H26" s="151">
        <f>SUM(H21:H25)</f>
        <v>27563385</v>
      </c>
      <c r="I26" s="150">
        <f>SUM(I21:I25)</f>
        <v>47793003</v>
      </c>
      <c r="J26" s="5">
        <f>SUM(J21:J25)</f>
        <v>296971521.69101512</v>
      </c>
      <c r="K26" s="5">
        <f t="shared" si="2"/>
        <v>135.10898488759995</v>
      </c>
      <c r="L26" s="307">
        <v>307565396</v>
      </c>
      <c r="M26" s="308">
        <f t="shared" si="0"/>
        <v>10593739.199999988</v>
      </c>
    </row>
    <row r="27" spans="1:13">
      <c r="A27" s="137">
        <v>17</v>
      </c>
      <c r="D27" s="12"/>
      <c r="E27" s="32"/>
      <c r="F27" s="261"/>
      <c r="G27" s="172"/>
      <c r="H27" s="172"/>
      <c r="I27" s="171"/>
      <c r="J27" s="85"/>
      <c r="L27" s="300"/>
      <c r="M27" s="308">
        <f t="shared" si="0"/>
        <v>0</v>
      </c>
    </row>
    <row r="28" spans="1:13">
      <c r="A28" s="137">
        <v>18</v>
      </c>
      <c r="B28" s="3" t="s">
        <v>232</v>
      </c>
      <c r="D28" s="12"/>
      <c r="E28" s="32"/>
      <c r="F28" s="259">
        <f>F417</f>
        <v>49938772</v>
      </c>
      <c r="G28" s="35">
        <f>G417</f>
        <v>32905157</v>
      </c>
      <c r="H28" s="35">
        <f>H417</f>
        <v>2736145</v>
      </c>
      <c r="I28" s="34">
        <f>I417</f>
        <v>14297470</v>
      </c>
      <c r="J28" s="146">
        <f>SUM(G28:I28)</f>
        <v>49938772</v>
      </c>
      <c r="K28" s="146">
        <f>F28-J28</f>
        <v>0</v>
      </c>
      <c r="L28" s="298">
        <v>49938772</v>
      </c>
      <c r="M28" s="308">
        <f t="shared" si="0"/>
        <v>0</v>
      </c>
    </row>
    <row r="29" spans="1:13" ht="13.8" thickBot="1">
      <c r="A29" s="137">
        <v>19</v>
      </c>
      <c r="B29" s="244" t="s">
        <v>228</v>
      </c>
      <c r="C29" s="154"/>
      <c r="D29" s="12"/>
      <c r="E29" s="32"/>
      <c r="F29" s="259">
        <f>-F734</f>
        <v>-4545168</v>
      </c>
      <c r="G29" s="35">
        <f>-G734</f>
        <v>-14388</v>
      </c>
      <c r="H29" s="35">
        <f>-H734</f>
        <v>-2936589</v>
      </c>
      <c r="I29" s="34">
        <f>-I734</f>
        <v>-1594191</v>
      </c>
      <c r="J29" s="146">
        <f>SUM(G29:I29)</f>
        <v>-4545168</v>
      </c>
      <c r="K29" s="146">
        <f>F29-J29</f>
        <v>0</v>
      </c>
      <c r="L29" s="298">
        <v>-4545168</v>
      </c>
      <c r="M29" s="308">
        <f t="shared" si="0"/>
        <v>0</v>
      </c>
    </row>
    <row r="30" spans="1:13" ht="13.8" thickBot="1">
      <c r="A30" s="137">
        <v>20</v>
      </c>
      <c r="C30" s="3" t="s">
        <v>218</v>
      </c>
      <c r="D30" s="243"/>
      <c r="E30" s="32"/>
      <c r="F30" s="260">
        <f>SUM(F26:F29)</f>
        <v>342365260.80000001</v>
      </c>
      <c r="G30" s="209">
        <f>SUM(G26:G29)</f>
        <v>254505902.69101512</v>
      </c>
      <c r="H30" s="209">
        <f>SUM(H26:H29)</f>
        <v>27362941</v>
      </c>
      <c r="I30" s="208">
        <f>SUM(I26:I29)</f>
        <v>60496282</v>
      </c>
      <c r="J30" s="5">
        <f>SUM(J26:J29)</f>
        <v>342365125.69101512</v>
      </c>
      <c r="K30" s="5">
        <f>F30-J30</f>
        <v>135.10898488759995</v>
      </c>
      <c r="L30" s="307">
        <v>352959000</v>
      </c>
      <c r="M30" s="328">
        <f t="shared" si="0"/>
        <v>10593739.199999988</v>
      </c>
    </row>
    <row r="31" spans="1:13">
      <c r="A31" s="67"/>
      <c r="C31" s="32"/>
      <c r="D31" s="12"/>
      <c r="E31" s="32"/>
      <c r="F31" s="263"/>
      <c r="G31" s="27"/>
      <c r="H31" s="27"/>
      <c r="I31" s="27"/>
      <c r="J31" s="27"/>
      <c r="K31" s="27"/>
      <c r="L31" s="311"/>
      <c r="M31" s="308">
        <f t="shared" si="0"/>
        <v>0</v>
      </c>
    </row>
    <row r="32" spans="1:13">
      <c r="A32" s="67" t="str">
        <f>co_name</f>
        <v>DUKE ENERGY KENTUCKY, INC.</v>
      </c>
      <c r="C32" s="32"/>
      <c r="D32" s="12"/>
      <c r="E32" s="32"/>
      <c r="F32" s="255"/>
      <c r="G32" s="27"/>
      <c r="H32" s="27"/>
      <c r="I32" s="27"/>
      <c r="J32" s="27" t="str">
        <f>J1</f>
        <v>FR-16(7)(v)-1</v>
      </c>
      <c r="K32" s="27"/>
      <c r="L32" s="253"/>
      <c r="M32" s="308">
        <f t="shared" si="0"/>
        <v>0</v>
      </c>
    </row>
    <row r="33" spans="1:13">
      <c r="A33" s="67" t="str">
        <f>$A$2</f>
        <v>FUNCTIONAL ELECTRIC COST OF SERVICE</v>
      </c>
      <c r="C33" s="32"/>
      <c r="D33" s="12"/>
      <c r="E33" s="32"/>
      <c r="F33" s="255"/>
      <c r="G33" s="27"/>
      <c r="H33" s="27"/>
      <c r="I33" s="27"/>
      <c r="J33" s="27" t="str">
        <f>J2</f>
        <v>WITNESS RESPONSIBLE:</v>
      </c>
      <c r="K33" s="27"/>
      <c r="L33" s="253"/>
      <c r="M33" s="308">
        <f t="shared" si="0"/>
        <v>0</v>
      </c>
    </row>
    <row r="34" spans="1:13">
      <c r="A34" s="67" t="str">
        <f>case_name</f>
        <v>CASE NO: 2017-00321</v>
      </c>
      <c r="C34" s="32"/>
      <c r="D34" s="12"/>
      <c r="E34" s="32"/>
      <c r="F34" s="255"/>
      <c r="G34" s="27"/>
      <c r="H34" s="27"/>
      <c r="I34" s="27"/>
      <c r="J34" s="27" t="str">
        <f>Witness</f>
        <v>JAMES E. ZIOLKOWSKI</v>
      </c>
      <c r="K34" s="27"/>
      <c r="L34" s="253"/>
      <c r="M34" s="308">
        <f t="shared" si="0"/>
        <v>0</v>
      </c>
    </row>
    <row r="35" spans="1:13">
      <c r="A35" s="67" t="str">
        <f>data_filing</f>
        <v>DATA: 12 MONTHS ACTUAL  &amp; 0 MONTHS ESTIMATED</v>
      </c>
      <c r="C35" s="32"/>
      <c r="D35" s="12"/>
      <c r="E35" s="32"/>
      <c r="F35" s="255"/>
      <c r="G35" s="27"/>
      <c r="H35" s="27"/>
      <c r="I35" s="27"/>
      <c r="J35" s="27" t="str">
        <f>"PAGE "&amp;Pages-16&amp;" OF "&amp;Pages</f>
        <v>PAGE 2 OF 18</v>
      </c>
      <c r="K35" s="27"/>
      <c r="L35" s="253"/>
      <c r="M35" s="308">
        <f t="shared" si="0"/>
        <v>0</v>
      </c>
    </row>
    <row r="36" spans="1:13">
      <c r="A36" s="67" t="str">
        <f>type</f>
        <v xml:space="preserve">TYPE OF FILING: "X" ORIGINAL   UPDATED    REVISED  </v>
      </c>
      <c r="C36" s="32"/>
      <c r="D36" s="12"/>
      <c r="E36" s="32"/>
      <c r="F36" s="255"/>
      <c r="G36" s="27"/>
      <c r="H36" s="27"/>
      <c r="I36" s="27"/>
      <c r="J36" s="27"/>
      <c r="K36" s="27"/>
      <c r="L36" s="253"/>
      <c r="M36" s="308">
        <f t="shared" si="0"/>
        <v>0</v>
      </c>
    </row>
    <row r="37" spans="1:13">
      <c r="A37" s="67"/>
      <c r="C37" s="32"/>
      <c r="D37" s="12"/>
      <c r="E37" s="32"/>
      <c r="F37" s="255"/>
      <c r="G37" s="27"/>
      <c r="H37" s="27"/>
      <c r="I37" s="27"/>
      <c r="J37" s="27"/>
      <c r="K37" s="27"/>
      <c r="L37" s="253"/>
      <c r="M37" s="308">
        <f t="shared" si="0"/>
        <v>0</v>
      </c>
    </row>
    <row r="38" spans="1:13">
      <c r="A38" s="67"/>
      <c r="C38" s="32"/>
      <c r="D38" s="12"/>
      <c r="E38" s="32"/>
      <c r="F38" s="255"/>
      <c r="G38" s="27"/>
      <c r="H38" s="27"/>
      <c r="I38" s="27"/>
      <c r="J38" s="27"/>
      <c r="K38" s="27"/>
      <c r="L38" s="253"/>
      <c r="M38" s="308">
        <f t="shared" si="0"/>
        <v>0</v>
      </c>
    </row>
    <row r="39" spans="1:13">
      <c r="A39" s="8" t="s">
        <v>91</v>
      </c>
      <c r="B39" s="27"/>
      <c r="C39" s="32"/>
      <c r="D39" s="12"/>
      <c r="E39" s="32"/>
      <c r="F39" s="256" t="s">
        <v>1</v>
      </c>
      <c r="G39" s="65" t="s">
        <v>90</v>
      </c>
      <c r="H39" s="65"/>
      <c r="I39" s="64"/>
      <c r="J39" s="8" t="s">
        <v>1</v>
      </c>
      <c r="K39" s="8" t="s">
        <v>89</v>
      </c>
      <c r="L39" s="284" t="s">
        <v>1</v>
      </c>
      <c r="M39" s="308" t="e">
        <f t="shared" si="0"/>
        <v>#VALUE!</v>
      </c>
    </row>
    <row r="40" spans="1:13">
      <c r="A40" s="57" t="s">
        <v>88</v>
      </c>
      <c r="B40" s="145" t="s">
        <v>146</v>
      </c>
      <c r="C40" s="62"/>
      <c r="D40" s="56" t="s">
        <v>85</v>
      </c>
      <c r="E40" s="62"/>
      <c r="F40" s="264" t="str">
        <f>$F$9</f>
        <v>ELECTRIC</v>
      </c>
      <c r="G40" s="59" t="str">
        <f t="shared" ref="G40:I41" si="3">G9</f>
        <v>PRODUCTION</v>
      </c>
      <c r="H40" s="59" t="str">
        <f t="shared" si="3"/>
        <v>TRANSMISSION</v>
      </c>
      <c r="I40" s="58" t="str">
        <f t="shared" si="3"/>
        <v>DISTRIBUTION</v>
      </c>
      <c r="J40" s="57" t="s">
        <v>84</v>
      </c>
      <c r="K40" s="57" t="s">
        <v>83</v>
      </c>
      <c r="L40" s="285" t="s">
        <v>82</v>
      </c>
      <c r="M40" s="308" t="e">
        <f t="shared" si="0"/>
        <v>#VALUE!</v>
      </c>
    </row>
    <row r="41" spans="1:13">
      <c r="C41" s="144" t="s">
        <v>580</v>
      </c>
      <c r="D41" s="12"/>
      <c r="E41" s="32"/>
      <c r="F41" s="258"/>
      <c r="G41" s="53">
        <f t="shared" si="3"/>
        <v>3</v>
      </c>
      <c r="H41" s="53">
        <f t="shared" si="3"/>
        <v>4</v>
      </c>
      <c r="I41" s="52">
        <f t="shared" si="3"/>
        <v>5</v>
      </c>
      <c r="K41" s="1" t="s">
        <v>3</v>
      </c>
      <c r="M41" s="308">
        <f t="shared" si="0"/>
        <v>0</v>
      </c>
    </row>
    <row r="42" spans="1:13">
      <c r="A42" s="137">
        <v>1</v>
      </c>
      <c r="B42" s="1" t="s">
        <v>560</v>
      </c>
      <c r="E42" s="32"/>
      <c r="F42" s="258"/>
      <c r="G42" s="40"/>
      <c r="H42" s="40"/>
      <c r="I42" s="39"/>
      <c r="M42" s="308">
        <f t="shared" si="0"/>
        <v>0</v>
      </c>
    </row>
    <row r="43" spans="1:13">
      <c r="A43" s="137">
        <v>2</v>
      </c>
      <c r="C43" s="223" t="s">
        <v>559</v>
      </c>
      <c r="D43" s="81" t="s">
        <v>190</v>
      </c>
      <c r="E43" s="32"/>
      <c r="F43" s="262">
        <f>'[4]SCH B-2.1'!$I$307</f>
        <v>799630884</v>
      </c>
      <c r="G43" s="35">
        <f>F43-SUM(H43:I43)</f>
        <v>799630884</v>
      </c>
      <c r="H43" s="35">
        <f>ROUND(F43*VLOOKUP(D43,ALLOCTABLE_FUNCTIONAL,$H$10,FALSE),0)</f>
        <v>0</v>
      </c>
      <c r="I43" s="34">
        <f>ROUND(F43*VLOOKUP(D43,ALLOCTABLE_FUNCTIONAL,$I$10,FALSE),0)</f>
        <v>0</v>
      </c>
      <c r="J43" s="146">
        <f>SUM(G43:I43)</f>
        <v>799630884</v>
      </c>
      <c r="K43" s="146">
        <f>F43-J43</f>
        <v>0</v>
      </c>
      <c r="L43" s="287">
        <v>799630884</v>
      </c>
      <c r="M43" s="308">
        <f t="shared" si="0"/>
        <v>0</v>
      </c>
    </row>
    <row r="44" spans="1:13">
      <c r="A44" s="137">
        <v>3</v>
      </c>
      <c r="C44" s="223" t="s">
        <v>558</v>
      </c>
      <c r="D44" s="81" t="s">
        <v>190</v>
      </c>
      <c r="E44" s="32"/>
      <c r="F44" s="262">
        <f>'[4]SCH B-2.1'!$I$348</f>
        <v>334147228</v>
      </c>
      <c r="G44" s="35">
        <f>F44-SUM(H44:I44)</f>
        <v>334147228</v>
      </c>
      <c r="H44" s="35">
        <f>ROUND(F44*VLOOKUP(D44,ALLOCTABLE_FUNCTIONAL,$H$10,FALSE),0)</f>
        <v>0</v>
      </c>
      <c r="I44" s="34">
        <f>ROUND(F44*VLOOKUP(D44,ALLOCTABLE_FUNCTIONAL,$I$10,FALSE),0)</f>
        <v>0</v>
      </c>
      <c r="J44" s="146">
        <f>SUM(G44:I44)</f>
        <v>334147228</v>
      </c>
      <c r="K44" s="146">
        <f>F44-J44</f>
        <v>0</v>
      </c>
      <c r="L44" s="287">
        <v>334147228</v>
      </c>
      <c r="M44" s="308">
        <f t="shared" si="0"/>
        <v>0</v>
      </c>
    </row>
    <row r="45" spans="1:13">
      <c r="A45" s="137">
        <v>4</v>
      </c>
      <c r="C45" s="217" t="s">
        <v>525</v>
      </c>
      <c r="D45" s="81" t="s">
        <v>190</v>
      </c>
      <c r="E45" s="32"/>
      <c r="F45" s="265">
        <v>0</v>
      </c>
      <c r="G45" s="35">
        <f>F45-SUM(H45:I45)</f>
        <v>0</v>
      </c>
      <c r="H45" s="35">
        <f>ROUND(F45*VLOOKUP(D45,ALLOCTABLE_FUNCTIONAL,$H$10,FALSE),0)</f>
        <v>0</v>
      </c>
      <c r="I45" s="34">
        <f>ROUND(F45*VLOOKUP(D45,ALLOCTABLE_FUNCTIONAL,$I$10,FALSE),0)</f>
        <v>0</v>
      </c>
      <c r="J45" s="146">
        <f>SUM(G45:I45)</f>
        <v>0</v>
      </c>
      <c r="K45" s="146">
        <f>F45-J45</f>
        <v>0</v>
      </c>
      <c r="L45" s="306">
        <v>0</v>
      </c>
      <c r="M45" s="308">
        <f t="shared" si="0"/>
        <v>0</v>
      </c>
    </row>
    <row r="46" spans="1:13">
      <c r="A46" s="137">
        <v>5</v>
      </c>
      <c r="C46" s="3" t="s">
        <v>579</v>
      </c>
      <c r="D46" s="81"/>
      <c r="E46" s="32"/>
      <c r="F46" s="260">
        <f t="shared" ref="F46:K46" si="4">SUM(F43:F45)</f>
        <v>1133778112</v>
      </c>
      <c r="G46" s="151">
        <f t="shared" si="4"/>
        <v>1133778112</v>
      </c>
      <c r="H46" s="151">
        <f t="shared" si="4"/>
        <v>0</v>
      </c>
      <c r="I46" s="150">
        <f t="shared" si="4"/>
        <v>0</v>
      </c>
      <c r="J46" s="5">
        <f t="shared" si="4"/>
        <v>1133778112</v>
      </c>
      <c r="K46" s="5">
        <f t="shared" si="4"/>
        <v>0</v>
      </c>
      <c r="L46" s="307">
        <v>1133778112</v>
      </c>
      <c r="M46" s="308">
        <f t="shared" si="0"/>
        <v>0</v>
      </c>
    </row>
    <row r="47" spans="1:13">
      <c r="A47" s="137">
        <v>6</v>
      </c>
      <c r="D47" s="81"/>
      <c r="E47" s="32"/>
      <c r="F47" s="258"/>
      <c r="G47" s="40"/>
      <c r="H47" s="40"/>
      <c r="I47" s="39"/>
      <c r="M47" s="308">
        <f t="shared" si="0"/>
        <v>0</v>
      </c>
    </row>
    <row r="48" spans="1:13">
      <c r="A48" s="137">
        <v>7</v>
      </c>
      <c r="B48" s="3" t="s">
        <v>556</v>
      </c>
      <c r="D48" s="81"/>
      <c r="E48" s="32"/>
      <c r="F48" s="258"/>
      <c r="G48" s="40"/>
      <c r="H48" s="40"/>
      <c r="I48" s="39"/>
      <c r="M48" s="308">
        <f t="shared" si="0"/>
        <v>0</v>
      </c>
    </row>
    <row r="49" spans="1:13">
      <c r="A49" s="137">
        <v>8</v>
      </c>
      <c r="C49" s="223" t="s">
        <v>555</v>
      </c>
      <c r="D49" s="81" t="s">
        <v>188</v>
      </c>
      <c r="E49" s="32"/>
      <c r="F49" s="262">
        <v>0</v>
      </c>
      <c r="G49" s="35">
        <f>F49-SUM(H49:I49)</f>
        <v>0</v>
      </c>
      <c r="H49" s="35">
        <f>ROUND(F49*VLOOKUP(D49,ALLOCTABLE_FUNCTIONAL,$H$10,FALSE),0)</f>
        <v>0</v>
      </c>
      <c r="I49" s="34">
        <f>ROUND(F49*VLOOKUP(D49,ALLOCTABLE_FUNCTIONAL,$I$10,FALSE),0)</f>
        <v>0</v>
      </c>
      <c r="J49" s="146">
        <f>SUM(G49:I49)</f>
        <v>0</v>
      </c>
      <c r="K49" s="146">
        <f>F49-J49</f>
        <v>0</v>
      </c>
      <c r="L49" s="287">
        <v>0</v>
      </c>
      <c r="M49" s="308">
        <f t="shared" si="0"/>
        <v>0</v>
      </c>
    </row>
    <row r="50" spans="1:13">
      <c r="A50" s="137">
        <v>9</v>
      </c>
      <c r="C50" s="223" t="s">
        <v>415</v>
      </c>
      <c r="D50" s="81" t="s">
        <v>188</v>
      </c>
      <c r="E50" s="32"/>
      <c r="F50" s="262">
        <f>'[4]SCH B-2.1'!$I$387</f>
        <v>65749235</v>
      </c>
      <c r="G50" s="35">
        <f>F50-SUM(H50:I50)</f>
        <v>0</v>
      </c>
      <c r="H50" s="35">
        <f>ROUND(F50*VLOOKUP(D50,ALLOCTABLE_FUNCTIONAL,$H$10,FALSE),0)</f>
        <v>65749235</v>
      </c>
      <c r="I50" s="34">
        <f>ROUND(F50*VLOOKUP(D50,ALLOCTABLE_FUNCTIONAL,$I$10,FALSE),0)</f>
        <v>0</v>
      </c>
      <c r="J50" s="146">
        <f>SUM(G50:I50)</f>
        <v>65749235</v>
      </c>
      <c r="K50" s="146">
        <f>F50-J50</f>
        <v>0</v>
      </c>
      <c r="L50" s="287">
        <v>65749235</v>
      </c>
      <c r="M50" s="308">
        <f t="shared" si="0"/>
        <v>0</v>
      </c>
    </row>
    <row r="51" spans="1:13">
      <c r="A51" s="137">
        <v>10</v>
      </c>
      <c r="C51" s="217" t="s">
        <v>525</v>
      </c>
      <c r="D51" s="81" t="s">
        <v>188</v>
      </c>
      <c r="E51" s="32"/>
      <c r="F51" s="262">
        <v>0</v>
      </c>
      <c r="G51" s="35">
        <f>F51-SUM(H51:I51)</f>
        <v>0</v>
      </c>
      <c r="H51" s="35">
        <f>ROUND(F51*VLOOKUP(D51,ALLOCTABLE_FUNCTIONAL,$H$10,FALSE),0)</f>
        <v>0</v>
      </c>
      <c r="I51" s="34">
        <f>ROUND(F51*VLOOKUP(D51,ALLOCTABLE_FUNCTIONAL,$I$10,FALSE),0)</f>
        <v>0</v>
      </c>
      <c r="J51" s="146">
        <f>SUM(G51:I51)</f>
        <v>0</v>
      </c>
      <c r="K51" s="146">
        <f>F51-J51</f>
        <v>0</v>
      </c>
      <c r="L51" s="287">
        <v>0</v>
      </c>
      <c r="M51" s="308">
        <f t="shared" si="0"/>
        <v>0</v>
      </c>
    </row>
    <row r="52" spans="1:13">
      <c r="A52" s="137">
        <v>11</v>
      </c>
      <c r="C52" s="3" t="s">
        <v>578</v>
      </c>
      <c r="D52" s="81"/>
      <c r="E52" s="32"/>
      <c r="F52" s="260">
        <f t="shared" ref="F52:K52" si="5">SUM(F49:F51)</f>
        <v>65749235</v>
      </c>
      <c r="G52" s="151">
        <f t="shared" si="5"/>
        <v>0</v>
      </c>
      <c r="H52" s="151">
        <f t="shared" si="5"/>
        <v>65749235</v>
      </c>
      <c r="I52" s="150">
        <f t="shared" si="5"/>
        <v>0</v>
      </c>
      <c r="J52" s="5">
        <f t="shared" si="5"/>
        <v>65749235</v>
      </c>
      <c r="K52" s="5">
        <f t="shared" si="5"/>
        <v>0</v>
      </c>
      <c r="L52" s="307">
        <v>65749235</v>
      </c>
      <c r="M52" s="308">
        <f t="shared" si="0"/>
        <v>0</v>
      </c>
    </row>
    <row r="53" spans="1:13">
      <c r="A53" s="137">
        <v>12</v>
      </c>
      <c r="D53" s="81"/>
      <c r="E53" s="32"/>
      <c r="F53" s="258"/>
      <c r="G53" s="40"/>
      <c r="H53" s="40"/>
      <c r="I53" s="39"/>
      <c r="M53" s="308">
        <f t="shared" si="0"/>
        <v>0</v>
      </c>
    </row>
    <row r="54" spans="1:13">
      <c r="A54" s="137">
        <v>13</v>
      </c>
      <c r="B54" s="1" t="s">
        <v>577</v>
      </c>
      <c r="D54" s="81"/>
      <c r="E54" s="32"/>
      <c r="F54" s="259">
        <f t="shared" ref="F54:K54" si="6">F52+F46</f>
        <v>1199527347</v>
      </c>
      <c r="G54" s="35">
        <f t="shared" si="6"/>
        <v>1133778112</v>
      </c>
      <c r="H54" s="35">
        <f t="shared" si="6"/>
        <v>65749235</v>
      </c>
      <c r="I54" s="34">
        <f t="shared" si="6"/>
        <v>0</v>
      </c>
      <c r="J54" s="146">
        <f t="shared" si="6"/>
        <v>1199527347</v>
      </c>
      <c r="K54" s="146">
        <f t="shared" si="6"/>
        <v>0</v>
      </c>
      <c r="L54" s="298">
        <v>1199527347</v>
      </c>
      <c r="M54" s="308">
        <f t="shared" si="0"/>
        <v>0</v>
      </c>
    </row>
    <row r="55" spans="1:13">
      <c r="A55" s="137">
        <v>14</v>
      </c>
      <c r="D55" s="81"/>
      <c r="E55" s="32"/>
      <c r="F55" s="258"/>
      <c r="G55" s="40"/>
      <c r="H55" s="40"/>
      <c r="I55" s="39"/>
      <c r="M55" s="308">
        <f t="shared" si="0"/>
        <v>0</v>
      </c>
    </row>
    <row r="56" spans="1:13">
      <c r="A56" s="137">
        <v>15</v>
      </c>
      <c r="B56" s="3" t="s">
        <v>552</v>
      </c>
      <c r="D56" s="81"/>
      <c r="E56" s="32"/>
      <c r="F56" s="258"/>
      <c r="G56" s="40"/>
      <c r="H56" s="40"/>
      <c r="I56" s="39"/>
      <c r="M56" s="308">
        <f t="shared" si="0"/>
        <v>0</v>
      </c>
    </row>
    <row r="57" spans="1:13">
      <c r="A57" s="137">
        <v>16</v>
      </c>
      <c r="C57" s="37" t="s">
        <v>407</v>
      </c>
      <c r="D57" s="81" t="s">
        <v>178</v>
      </c>
      <c r="E57" s="32"/>
      <c r="F57" s="262">
        <f>'[4]SCH B-2.1'!$I$412+'[4]SCH B-2.1'!$I$414+'[4]SCH B-2.1'!$I$415+'[4]SCH B-2.1'!$I$416</f>
        <v>70429035</v>
      </c>
      <c r="G57" s="35">
        <f t="shared" ref="G57:G77" si="7">F57-SUM(H57:I57)</f>
        <v>0</v>
      </c>
      <c r="H57" s="35">
        <f t="shared" ref="H57:H77" si="8">ROUND(F57*VLOOKUP(D57,ALLOCTABLE_FUNCTIONAL,$H$10,FALSE),0)</f>
        <v>0</v>
      </c>
      <c r="I57" s="34">
        <f t="shared" ref="I57:I77" si="9">ROUND(F57*VLOOKUP(D57,ALLOCTABLE_FUNCTIONAL,$I$10,FALSE),0)</f>
        <v>70429035</v>
      </c>
      <c r="J57" s="146">
        <f t="shared" ref="J57:J77" si="10">SUM(G57:I57)</f>
        <v>70429035</v>
      </c>
      <c r="K57" s="146">
        <f t="shared" ref="K57:K77" si="11">F57-J57</f>
        <v>0</v>
      </c>
      <c r="L57" s="287">
        <v>70429035</v>
      </c>
      <c r="M57" s="308">
        <f t="shared" si="0"/>
        <v>0</v>
      </c>
    </row>
    <row r="58" spans="1:13">
      <c r="A58" s="137">
        <v>17</v>
      </c>
      <c r="C58" s="230" t="s">
        <v>551</v>
      </c>
      <c r="D58" s="229" t="s">
        <v>184</v>
      </c>
      <c r="E58" s="32"/>
      <c r="F58" s="266">
        <f>'[2]WP FR-16(7)(v) MinSizPrimPole1'!F16</f>
        <v>31596514</v>
      </c>
      <c r="G58" s="35">
        <f t="shared" si="7"/>
        <v>0</v>
      </c>
      <c r="H58" s="35">
        <f t="shared" si="8"/>
        <v>0</v>
      </c>
      <c r="I58" s="34">
        <f t="shared" si="9"/>
        <v>31596514</v>
      </c>
      <c r="J58" s="146">
        <f t="shared" si="10"/>
        <v>31596514</v>
      </c>
      <c r="K58" s="146">
        <f t="shared" si="11"/>
        <v>0</v>
      </c>
      <c r="L58" s="296">
        <v>31596514</v>
      </c>
      <c r="M58" s="308">
        <f t="shared" si="0"/>
        <v>0</v>
      </c>
    </row>
    <row r="59" spans="1:13">
      <c r="A59" s="137">
        <v>18</v>
      </c>
      <c r="C59" s="230" t="s">
        <v>550</v>
      </c>
      <c r="D59" s="229" t="s">
        <v>165</v>
      </c>
      <c r="E59" s="32"/>
      <c r="F59" s="266">
        <f>'[2]WP FR-16(7)(v) MinSizPrimPole1'!G16</f>
        <v>14541160</v>
      </c>
      <c r="G59" s="35">
        <f t="shared" si="7"/>
        <v>0</v>
      </c>
      <c r="H59" s="35">
        <f t="shared" si="8"/>
        <v>0</v>
      </c>
      <c r="I59" s="34">
        <f t="shared" si="9"/>
        <v>14541160</v>
      </c>
      <c r="J59" s="146">
        <f t="shared" si="10"/>
        <v>14541160</v>
      </c>
      <c r="K59" s="146">
        <f t="shared" si="11"/>
        <v>0</v>
      </c>
      <c r="L59" s="296">
        <v>14541160</v>
      </c>
      <c r="M59" s="308">
        <f t="shared" si="0"/>
        <v>0</v>
      </c>
    </row>
    <row r="60" spans="1:13">
      <c r="A60" s="137">
        <v>19</v>
      </c>
      <c r="C60" s="230" t="s">
        <v>549</v>
      </c>
      <c r="D60" s="229" t="s">
        <v>182</v>
      </c>
      <c r="E60" s="32"/>
      <c r="F60" s="266">
        <f>'[2]WP FR-16(7)(v) MinSizSecPole1'!F16</f>
        <v>13601159</v>
      </c>
      <c r="G60" s="35">
        <f t="shared" si="7"/>
        <v>0</v>
      </c>
      <c r="H60" s="35">
        <f t="shared" si="8"/>
        <v>0</v>
      </c>
      <c r="I60" s="34">
        <f t="shared" si="9"/>
        <v>13601159</v>
      </c>
      <c r="J60" s="146">
        <f t="shared" si="10"/>
        <v>13601159</v>
      </c>
      <c r="K60" s="146">
        <f t="shared" si="11"/>
        <v>0</v>
      </c>
      <c r="L60" s="296">
        <v>13601159</v>
      </c>
      <c r="M60" s="308">
        <f t="shared" si="0"/>
        <v>0</v>
      </c>
    </row>
    <row r="61" spans="1:13">
      <c r="A61" s="137">
        <v>20</v>
      </c>
      <c r="C61" s="230" t="s">
        <v>548</v>
      </c>
      <c r="D61" s="229" t="s">
        <v>165</v>
      </c>
      <c r="E61" s="32"/>
      <c r="F61" s="266">
        <f>'[2]WP FR-16(7)(v) MinSizSecPole1'!G16</f>
        <v>3463460</v>
      </c>
      <c r="G61" s="35">
        <f t="shared" si="7"/>
        <v>0</v>
      </c>
      <c r="H61" s="35">
        <f t="shared" si="8"/>
        <v>0</v>
      </c>
      <c r="I61" s="34">
        <f t="shared" si="9"/>
        <v>3463460</v>
      </c>
      <c r="J61" s="146">
        <f t="shared" si="10"/>
        <v>3463460</v>
      </c>
      <c r="K61" s="146">
        <f t="shared" si="11"/>
        <v>0</v>
      </c>
      <c r="L61" s="296">
        <v>3463460</v>
      </c>
      <c r="M61" s="308">
        <f t="shared" si="0"/>
        <v>0</v>
      </c>
    </row>
    <row r="62" spans="1:13">
      <c r="A62" s="137">
        <v>21</v>
      </c>
      <c r="C62" s="230" t="s">
        <v>547</v>
      </c>
      <c r="D62" s="229" t="s">
        <v>184</v>
      </c>
      <c r="E62" s="32"/>
      <c r="F62" s="266">
        <f>'[2]WP FR-16(7)(v) MinSizOHPRIM1'!F16</f>
        <v>61772302</v>
      </c>
      <c r="G62" s="35">
        <f t="shared" si="7"/>
        <v>0</v>
      </c>
      <c r="H62" s="35">
        <f t="shared" si="8"/>
        <v>0</v>
      </c>
      <c r="I62" s="34">
        <f t="shared" si="9"/>
        <v>61772302</v>
      </c>
      <c r="J62" s="146">
        <f t="shared" si="10"/>
        <v>61772302</v>
      </c>
      <c r="K62" s="146">
        <f t="shared" si="11"/>
        <v>0</v>
      </c>
      <c r="L62" s="296">
        <v>61772302</v>
      </c>
      <c r="M62" s="308">
        <f t="shared" si="0"/>
        <v>0</v>
      </c>
    </row>
    <row r="63" spans="1:13">
      <c r="A63" s="137">
        <v>22</v>
      </c>
      <c r="C63" s="230" t="s">
        <v>546</v>
      </c>
      <c r="D63" s="229" t="s">
        <v>165</v>
      </c>
      <c r="E63" s="32"/>
      <c r="F63" s="266">
        <f>'[2]WP FR-16(7)(v) MinSizOHPRIM1'!G16</f>
        <v>18008163</v>
      </c>
      <c r="G63" s="35">
        <f t="shared" si="7"/>
        <v>0</v>
      </c>
      <c r="H63" s="35">
        <f t="shared" si="8"/>
        <v>0</v>
      </c>
      <c r="I63" s="34">
        <f t="shared" si="9"/>
        <v>18008163</v>
      </c>
      <c r="J63" s="146">
        <f t="shared" si="10"/>
        <v>18008163</v>
      </c>
      <c r="K63" s="146">
        <f t="shared" si="11"/>
        <v>0</v>
      </c>
      <c r="L63" s="296">
        <v>18008163</v>
      </c>
      <c r="M63" s="308">
        <f t="shared" si="0"/>
        <v>0</v>
      </c>
    </row>
    <row r="64" spans="1:13">
      <c r="A64" s="137">
        <v>23</v>
      </c>
      <c r="C64" s="230" t="s">
        <v>545</v>
      </c>
      <c r="D64" s="229" t="s">
        <v>182</v>
      </c>
      <c r="E64" s="32"/>
      <c r="F64" s="266">
        <f>'[2]WP FR-16(7)(v) MinSizOHSEC1'!F16</f>
        <v>28743644</v>
      </c>
      <c r="G64" s="35">
        <f t="shared" si="7"/>
        <v>0</v>
      </c>
      <c r="H64" s="35">
        <f t="shared" si="8"/>
        <v>0</v>
      </c>
      <c r="I64" s="34">
        <f t="shared" si="9"/>
        <v>28743644</v>
      </c>
      <c r="J64" s="146">
        <f t="shared" si="10"/>
        <v>28743644</v>
      </c>
      <c r="K64" s="146">
        <f t="shared" si="11"/>
        <v>0</v>
      </c>
      <c r="L64" s="296">
        <v>28743644</v>
      </c>
      <c r="M64" s="308">
        <f t="shared" si="0"/>
        <v>0</v>
      </c>
    </row>
    <row r="65" spans="1:13">
      <c r="A65" s="137">
        <v>24</v>
      </c>
      <c r="C65" s="230" t="s">
        <v>544</v>
      </c>
      <c r="D65" s="229" t="s">
        <v>165</v>
      </c>
      <c r="E65" s="32"/>
      <c r="F65" s="266">
        <f>'[2]WP FR-16(7)(v) MinSizOHSEC1'!G16</f>
        <v>7099753</v>
      </c>
      <c r="G65" s="35">
        <f t="shared" si="7"/>
        <v>0</v>
      </c>
      <c r="H65" s="35">
        <f t="shared" si="8"/>
        <v>0</v>
      </c>
      <c r="I65" s="34">
        <f t="shared" si="9"/>
        <v>7099753</v>
      </c>
      <c r="J65" s="146">
        <f t="shared" si="10"/>
        <v>7099753</v>
      </c>
      <c r="K65" s="146">
        <f t="shared" si="11"/>
        <v>0</v>
      </c>
      <c r="L65" s="296">
        <v>7099753</v>
      </c>
      <c r="M65" s="308">
        <f t="shared" si="0"/>
        <v>0</v>
      </c>
    </row>
    <row r="66" spans="1:13">
      <c r="A66" s="137">
        <v>25</v>
      </c>
      <c r="C66" s="230" t="s">
        <v>543</v>
      </c>
      <c r="D66" s="229" t="s">
        <v>184</v>
      </c>
      <c r="E66" s="32"/>
      <c r="F66" s="266">
        <f>'[2]WP FR-16(7)(v) MinSizUGPRIM1'!F16</f>
        <v>50721079</v>
      </c>
      <c r="G66" s="35">
        <f t="shared" si="7"/>
        <v>0</v>
      </c>
      <c r="H66" s="35">
        <f t="shared" si="8"/>
        <v>0</v>
      </c>
      <c r="I66" s="34">
        <f t="shared" si="9"/>
        <v>50721079</v>
      </c>
      <c r="J66" s="146">
        <f t="shared" si="10"/>
        <v>50721079</v>
      </c>
      <c r="K66" s="146">
        <f t="shared" si="11"/>
        <v>0</v>
      </c>
      <c r="L66" s="296">
        <v>50721079</v>
      </c>
      <c r="M66" s="308">
        <f t="shared" si="0"/>
        <v>0</v>
      </c>
    </row>
    <row r="67" spans="1:13">
      <c r="A67" s="137">
        <v>26</v>
      </c>
      <c r="C67" s="230" t="s">
        <v>542</v>
      </c>
      <c r="D67" s="229" t="s">
        <v>165</v>
      </c>
      <c r="E67" s="32"/>
      <c r="F67" s="266">
        <f>'[2]WP FR-16(7)(v) MinSizUGPRIM1'!G16</f>
        <v>14638113</v>
      </c>
      <c r="G67" s="35">
        <f t="shared" si="7"/>
        <v>0</v>
      </c>
      <c r="H67" s="35">
        <f t="shared" si="8"/>
        <v>0</v>
      </c>
      <c r="I67" s="34">
        <f t="shared" si="9"/>
        <v>14638113</v>
      </c>
      <c r="J67" s="146">
        <f t="shared" si="10"/>
        <v>14638113</v>
      </c>
      <c r="K67" s="146">
        <f t="shared" si="11"/>
        <v>0</v>
      </c>
      <c r="L67" s="296">
        <v>14638113</v>
      </c>
      <c r="M67" s="308">
        <f t="shared" si="0"/>
        <v>0</v>
      </c>
    </row>
    <row r="68" spans="1:13">
      <c r="A68" s="137">
        <v>27</v>
      </c>
      <c r="C68" s="230" t="s">
        <v>541</v>
      </c>
      <c r="D68" s="229" t="s">
        <v>182</v>
      </c>
      <c r="E68" s="32"/>
      <c r="F68" s="266">
        <f>'[2]WP FR-16(7)(v) MinSizUGSEC1'!F16</f>
        <v>8531757</v>
      </c>
      <c r="G68" s="35">
        <f t="shared" si="7"/>
        <v>0</v>
      </c>
      <c r="H68" s="35">
        <f t="shared" si="8"/>
        <v>0</v>
      </c>
      <c r="I68" s="34">
        <f t="shared" si="9"/>
        <v>8531757</v>
      </c>
      <c r="J68" s="146">
        <f t="shared" si="10"/>
        <v>8531757</v>
      </c>
      <c r="K68" s="146">
        <f t="shared" si="11"/>
        <v>0</v>
      </c>
      <c r="L68" s="296">
        <v>8531757</v>
      </c>
      <c r="M68" s="308">
        <f t="shared" si="0"/>
        <v>0</v>
      </c>
    </row>
    <row r="69" spans="1:13">
      <c r="A69" s="137">
        <v>28</v>
      </c>
      <c r="C69" s="230" t="s">
        <v>540</v>
      </c>
      <c r="D69" s="229" t="s">
        <v>165</v>
      </c>
      <c r="E69" s="32"/>
      <c r="F69" s="266">
        <f>'[2]WP FR-16(7)(v) MinSizUGSEC1'!G16</f>
        <v>4855066</v>
      </c>
      <c r="G69" s="35">
        <f t="shared" si="7"/>
        <v>0</v>
      </c>
      <c r="H69" s="35">
        <f t="shared" si="8"/>
        <v>0</v>
      </c>
      <c r="I69" s="34">
        <f t="shared" si="9"/>
        <v>4855066</v>
      </c>
      <c r="J69" s="146">
        <f t="shared" si="10"/>
        <v>4855066</v>
      </c>
      <c r="K69" s="146">
        <f t="shared" si="11"/>
        <v>0</v>
      </c>
      <c r="L69" s="296">
        <v>4855066</v>
      </c>
      <c r="M69" s="308">
        <f t="shared" si="0"/>
        <v>0</v>
      </c>
    </row>
    <row r="70" spans="1:13">
      <c r="A70" s="137">
        <v>29</v>
      </c>
      <c r="C70" s="37" t="s">
        <v>397</v>
      </c>
      <c r="D70" s="81" t="s">
        <v>178</v>
      </c>
      <c r="E70" s="32"/>
      <c r="F70" s="266">
        <f>'[2]WP FR-16(7)(v) Min Siz Trans 1'!F17</f>
        <v>38104430</v>
      </c>
      <c r="G70" s="35">
        <f t="shared" si="7"/>
        <v>0</v>
      </c>
      <c r="H70" s="35">
        <f t="shared" si="8"/>
        <v>0</v>
      </c>
      <c r="I70" s="34">
        <f t="shared" si="9"/>
        <v>38104430</v>
      </c>
      <c r="J70" s="146">
        <f t="shared" si="10"/>
        <v>38104430</v>
      </c>
      <c r="K70" s="146">
        <f t="shared" si="11"/>
        <v>0</v>
      </c>
      <c r="L70" s="296">
        <v>38104430</v>
      </c>
      <c r="M70" s="308">
        <f t="shared" si="0"/>
        <v>0</v>
      </c>
    </row>
    <row r="71" spans="1:13">
      <c r="A71" s="137">
        <v>30</v>
      </c>
      <c r="C71" s="37" t="s">
        <v>396</v>
      </c>
      <c r="D71" s="81" t="s">
        <v>165</v>
      </c>
      <c r="E71" s="32"/>
      <c r="F71" s="266">
        <f>'[2]WP FR-16(7)(v) Min Siz Trans 1'!G17</f>
        <v>18249717</v>
      </c>
      <c r="G71" s="35">
        <f t="shared" si="7"/>
        <v>0</v>
      </c>
      <c r="H71" s="35">
        <f t="shared" si="8"/>
        <v>0</v>
      </c>
      <c r="I71" s="34">
        <f t="shared" si="9"/>
        <v>18249717</v>
      </c>
      <c r="J71" s="146">
        <f t="shared" si="10"/>
        <v>18249717</v>
      </c>
      <c r="K71" s="146">
        <f t="shared" si="11"/>
        <v>0</v>
      </c>
      <c r="L71" s="296">
        <v>18249717</v>
      </c>
      <c r="M71" s="308">
        <f t="shared" si="0"/>
        <v>0</v>
      </c>
    </row>
    <row r="72" spans="1:13">
      <c r="A72" s="137">
        <v>31</v>
      </c>
      <c r="C72" s="37" t="s">
        <v>539</v>
      </c>
      <c r="D72" s="81" t="s">
        <v>176</v>
      </c>
      <c r="E72" s="32"/>
      <c r="F72" s="262">
        <f>SUM('[4]SCH B-2.1'!$I$424:$I$425)</f>
        <v>18185218</v>
      </c>
      <c r="G72" s="35">
        <f t="shared" si="7"/>
        <v>0</v>
      </c>
      <c r="H72" s="35">
        <f t="shared" si="8"/>
        <v>0</v>
      </c>
      <c r="I72" s="34">
        <f t="shared" si="9"/>
        <v>18185218</v>
      </c>
      <c r="J72" s="146">
        <f t="shared" si="10"/>
        <v>18185218</v>
      </c>
      <c r="K72" s="146">
        <f t="shared" si="11"/>
        <v>0</v>
      </c>
      <c r="L72" s="287">
        <v>18185218</v>
      </c>
      <c r="M72" s="308">
        <f t="shared" si="0"/>
        <v>0</v>
      </c>
    </row>
    <row r="73" spans="1:13">
      <c r="A73" s="137">
        <v>32</v>
      </c>
      <c r="C73" s="37" t="s">
        <v>164</v>
      </c>
      <c r="D73" s="81" t="s">
        <v>163</v>
      </c>
      <c r="E73" s="32"/>
      <c r="F73" s="262">
        <f>'[4]SCH B-2.1'!$I$426+'[4]SCH B-2.1'!$I$428+'[4]SCH B-2.1'!$I$429+'[4]SCH B-2.1'!$I$431</f>
        <v>23526206</v>
      </c>
      <c r="G73" s="35">
        <f t="shared" si="7"/>
        <v>0</v>
      </c>
      <c r="H73" s="35">
        <f t="shared" si="8"/>
        <v>59521</v>
      </c>
      <c r="I73" s="34">
        <f t="shared" si="9"/>
        <v>23466685</v>
      </c>
      <c r="J73" s="146">
        <f t="shared" si="10"/>
        <v>23526206</v>
      </c>
      <c r="K73" s="146">
        <f t="shared" si="11"/>
        <v>0</v>
      </c>
      <c r="L73" s="287">
        <v>23526206</v>
      </c>
      <c r="M73" s="308">
        <f t="shared" si="0"/>
        <v>0</v>
      </c>
    </row>
    <row r="74" spans="1:13">
      <c r="A74" s="137">
        <v>33</v>
      </c>
      <c r="C74" s="37" t="s">
        <v>538</v>
      </c>
      <c r="D74" s="81" t="s">
        <v>167</v>
      </c>
      <c r="E74" s="32"/>
      <c r="F74" s="262">
        <f>'[4]SCH B-2.1'!$I$430+'[4]SCH B-2.1'!$I$432+'[4]SCH B-2.1'!$I$433+'[4]SCH B-2.1'!$I$434+'[4]SCH B-2.1'!$I$435</f>
        <v>6420933</v>
      </c>
      <c r="G74" s="35">
        <f t="shared" si="7"/>
        <v>0</v>
      </c>
      <c r="H74" s="35">
        <f t="shared" si="8"/>
        <v>0</v>
      </c>
      <c r="I74" s="34">
        <f t="shared" si="9"/>
        <v>6420933</v>
      </c>
      <c r="J74" s="146">
        <f t="shared" si="10"/>
        <v>6420933</v>
      </c>
      <c r="K74" s="146">
        <f t="shared" si="11"/>
        <v>0</v>
      </c>
      <c r="L74" s="287">
        <v>6420933</v>
      </c>
      <c r="M74" s="308">
        <f t="shared" si="0"/>
        <v>0</v>
      </c>
    </row>
    <row r="75" spans="1:13">
      <c r="A75" s="137">
        <v>34</v>
      </c>
      <c r="C75" s="37" t="s">
        <v>537</v>
      </c>
      <c r="D75" s="81" t="s">
        <v>180</v>
      </c>
      <c r="E75" s="32"/>
      <c r="F75" s="262">
        <v>0</v>
      </c>
      <c r="G75" s="35">
        <f t="shared" si="7"/>
        <v>0</v>
      </c>
      <c r="H75" s="35">
        <f t="shared" si="8"/>
        <v>0</v>
      </c>
      <c r="I75" s="34">
        <f t="shared" si="9"/>
        <v>0</v>
      </c>
      <c r="J75" s="146">
        <f t="shared" si="10"/>
        <v>0</v>
      </c>
      <c r="K75" s="146">
        <f t="shared" si="11"/>
        <v>0</v>
      </c>
      <c r="L75" s="287">
        <v>0</v>
      </c>
      <c r="M75" s="308">
        <f t="shared" si="0"/>
        <v>0</v>
      </c>
    </row>
    <row r="76" spans="1:13">
      <c r="A76" s="137">
        <v>35</v>
      </c>
      <c r="C76" s="223" t="s">
        <v>536</v>
      </c>
      <c r="D76" s="81" t="s">
        <v>180</v>
      </c>
      <c r="E76" s="32"/>
      <c r="F76" s="262">
        <f>'[4]SCH B-2.1'!$I$436</f>
        <v>38933705</v>
      </c>
      <c r="G76" s="35">
        <f t="shared" si="7"/>
        <v>0</v>
      </c>
      <c r="H76" s="35">
        <f t="shared" si="8"/>
        <v>5451</v>
      </c>
      <c r="I76" s="34">
        <f t="shared" si="9"/>
        <v>38928254</v>
      </c>
      <c r="J76" s="146">
        <f t="shared" si="10"/>
        <v>38933705</v>
      </c>
      <c r="K76" s="146">
        <f t="shared" si="11"/>
        <v>0</v>
      </c>
      <c r="L76" s="287">
        <v>38933705</v>
      </c>
      <c r="M76" s="308">
        <f t="shared" ref="M76:M139" si="12">L76-F76</f>
        <v>0</v>
      </c>
    </row>
    <row r="77" spans="1:13">
      <c r="A77" s="137">
        <v>36</v>
      </c>
      <c r="C77" s="217" t="s">
        <v>567</v>
      </c>
      <c r="D77" s="81" t="s">
        <v>178</v>
      </c>
      <c r="E77" s="32"/>
      <c r="F77" s="262">
        <v>0</v>
      </c>
      <c r="G77" s="35">
        <f t="shared" si="7"/>
        <v>0</v>
      </c>
      <c r="H77" s="35">
        <f t="shared" si="8"/>
        <v>0</v>
      </c>
      <c r="I77" s="34">
        <f t="shared" si="9"/>
        <v>0</v>
      </c>
      <c r="J77" s="146">
        <f t="shared" si="10"/>
        <v>0</v>
      </c>
      <c r="K77" s="146">
        <f t="shared" si="11"/>
        <v>0</v>
      </c>
      <c r="L77" s="287">
        <v>0</v>
      </c>
      <c r="M77" s="308">
        <f t="shared" si="12"/>
        <v>0</v>
      </c>
    </row>
    <row r="78" spans="1:13">
      <c r="A78" s="137">
        <v>37</v>
      </c>
      <c r="C78" s="152" t="s">
        <v>576</v>
      </c>
      <c r="D78" s="81"/>
      <c r="E78" s="32"/>
      <c r="F78" s="260">
        <f>SUM(F57:F77)</f>
        <v>471421414</v>
      </c>
      <c r="G78" s="151">
        <f>SUM(G57:G76)</f>
        <v>0</v>
      </c>
      <c r="H78" s="151">
        <f>SUM(H57:H76)</f>
        <v>64972</v>
      </c>
      <c r="I78" s="150">
        <f>SUM(I57:I76)</f>
        <v>471356442</v>
      </c>
      <c r="J78" s="5">
        <f>SUM(J57:J76)</f>
        <v>471421414</v>
      </c>
      <c r="K78" s="5">
        <f>SUM(K57:K76)</f>
        <v>0</v>
      </c>
      <c r="L78" s="307">
        <v>471421414</v>
      </c>
      <c r="M78" s="308">
        <f t="shared" si="12"/>
        <v>0</v>
      </c>
    </row>
    <row r="79" spans="1:13">
      <c r="A79" s="137">
        <v>38</v>
      </c>
      <c r="D79" s="81"/>
      <c r="E79" s="32"/>
      <c r="F79" s="258"/>
      <c r="G79" s="40"/>
      <c r="H79" s="40"/>
      <c r="I79" s="39"/>
      <c r="M79" s="308">
        <f t="shared" si="12"/>
        <v>0</v>
      </c>
    </row>
    <row r="80" spans="1:13">
      <c r="A80" s="137">
        <v>39</v>
      </c>
      <c r="B80" s="1" t="s">
        <v>575</v>
      </c>
      <c r="D80" s="81"/>
      <c r="E80" s="32"/>
      <c r="F80" s="259">
        <f t="shared" ref="F80:K80" si="13">F78+F52</f>
        <v>537170649</v>
      </c>
      <c r="G80" s="35">
        <f t="shared" si="13"/>
        <v>0</v>
      </c>
      <c r="H80" s="35">
        <f t="shared" si="13"/>
        <v>65814207</v>
      </c>
      <c r="I80" s="34">
        <f t="shared" si="13"/>
        <v>471356442</v>
      </c>
      <c r="J80" s="146">
        <f t="shared" si="13"/>
        <v>537170649</v>
      </c>
      <c r="K80" s="146">
        <f t="shared" si="13"/>
        <v>0</v>
      </c>
      <c r="L80" s="298">
        <v>537170649</v>
      </c>
      <c r="M80" s="308">
        <f t="shared" si="12"/>
        <v>0</v>
      </c>
    </row>
    <row r="81" spans="1:13">
      <c r="A81" s="137">
        <v>40</v>
      </c>
      <c r="B81" s="1" t="s">
        <v>574</v>
      </c>
      <c r="D81" s="81"/>
      <c r="E81" s="32"/>
      <c r="F81" s="259">
        <f t="shared" ref="F81:K81" si="14">F78+F54</f>
        <v>1670948761</v>
      </c>
      <c r="G81" s="35">
        <f t="shared" si="14"/>
        <v>1133778112</v>
      </c>
      <c r="H81" s="35">
        <f t="shared" si="14"/>
        <v>65814207</v>
      </c>
      <c r="I81" s="34">
        <f t="shared" si="14"/>
        <v>471356442</v>
      </c>
      <c r="J81" s="146">
        <f t="shared" si="14"/>
        <v>1670948761</v>
      </c>
      <c r="K81" s="146">
        <f t="shared" si="14"/>
        <v>0</v>
      </c>
      <c r="L81" s="298">
        <v>1670948761</v>
      </c>
      <c r="M81" s="308">
        <f t="shared" si="12"/>
        <v>0</v>
      </c>
    </row>
    <row r="82" spans="1:13">
      <c r="A82" s="137">
        <v>41</v>
      </c>
      <c r="D82" s="81"/>
      <c r="E82" s="32"/>
      <c r="F82" s="258"/>
      <c r="G82" s="40"/>
      <c r="H82" s="40"/>
      <c r="I82" s="39"/>
      <c r="M82" s="308">
        <f t="shared" si="12"/>
        <v>0</v>
      </c>
    </row>
    <row r="83" spans="1:13">
      <c r="A83" s="137">
        <v>42</v>
      </c>
      <c r="B83" s="1" t="s">
        <v>532</v>
      </c>
      <c r="D83" s="81"/>
      <c r="E83" s="32"/>
      <c r="F83" s="258"/>
      <c r="G83" s="40"/>
      <c r="H83" s="40"/>
      <c r="I83" s="39"/>
      <c r="M83" s="308">
        <f t="shared" si="12"/>
        <v>0</v>
      </c>
    </row>
    <row r="84" spans="1:13">
      <c r="A84" s="137">
        <v>43</v>
      </c>
      <c r="C84" s="37" t="s">
        <v>529</v>
      </c>
      <c r="D84" s="81" t="s">
        <v>190</v>
      </c>
      <c r="E84" s="32"/>
      <c r="F84" s="266">
        <f>'[2]WP FR-16(7)(v) A&amp;G WP'!D12</f>
        <v>8795876</v>
      </c>
      <c r="G84" s="35">
        <f t="shared" ref="G84:G92" si="15">F84-SUM(H84:I84)</f>
        <v>8795876</v>
      </c>
      <c r="H84" s="35">
        <f t="shared" ref="H84:H92" si="16">ROUND(F84*VLOOKUP(D84,ALLOCTABLE_FUNCTIONAL,$H$10,FALSE),0)</f>
        <v>0</v>
      </c>
      <c r="I84" s="34">
        <f t="shared" ref="I84:I92" si="17">ROUND(F84*VLOOKUP(D84,ALLOCTABLE_FUNCTIONAL,$I$10,FALSE),0)</f>
        <v>0</v>
      </c>
      <c r="J84" s="146">
        <f t="shared" ref="J84:J92" si="18">SUM(G84:I84)</f>
        <v>8795876</v>
      </c>
      <c r="K84" s="146">
        <f t="shared" ref="K84:K92" si="19">F84-J84</f>
        <v>0</v>
      </c>
      <c r="L84" s="296">
        <v>8795876</v>
      </c>
      <c r="M84" s="308">
        <f t="shared" si="12"/>
        <v>0</v>
      </c>
    </row>
    <row r="85" spans="1:13">
      <c r="A85" s="137">
        <v>44</v>
      </c>
      <c r="C85" s="37" t="s">
        <v>528</v>
      </c>
      <c r="D85" s="81" t="s">
        <v>7</v>
      </c>
      <c r="E85" s="32"/>
      <c r="F85" s="266">
        <f>'[2]WP FR-16(7)(v) A&amp;G WP'!D13</f>
        <v>7707827</v>
      </c>
      <c r="G85" s="35">
        <f t="shared" si="15"/>
        <v>7707827</v>
      </c>
      <c r="H85" s="35">
        <f t="shared" si="16"/>
        <v>0</v>
      </c>
      <c r="I85" s="34">
        <f t="shared" si="17"/>
        <v>0</v>
      </c>
      <c r="J85" s="146">
        <f t="shared" si="18"/>
        <v>7707827</v>
      </c>
      <c r="K85" s="146">
        <f t="shared" si="19"/>
        <v>0</v>
      </c>
      <c r="L85" s="296">
        <v>7707827</v>
      </c>
      <c r="M85" s="308">
        <f t="shared" si="12"/>
        <v>0</v>
      </c>
    </row>
    <row r="86" spans="1:13">
      <c r="A86" s="137">
        <v>45</v>
      </c>
      <c r="C86" s="37" t="s">
        <v>370</v>
      </c>
      <c r="D86" s="81" t="s">
        <v>188</v>
      </c>
      <c r="E86" s="32"/>
      <c r="F86" s="266">
        <f>'[2]WP FR-16(7)(v) A&amp;G WP'!D14</f>
        <v>1502812</v>
      </c>
      <c r="G86" s="35">
        <f t="shared" si="15"/>
        <v>0</v>
      </c>
      <c r="H86" s="35">
        <f t="shared" si="16"/>
        <v>1502812</v>
      </c>
      <c r="I86" s="34">
        <f t="shared" si="17"/>
        <v>0</v>
      </c>
      <c r="J86" s="146">
        <f t="shared" si="18"/>
        <v>1502812</v>
      </c>
      <c r="K86" s="146">
        <f t="shared" si="19"/>
        <v>0</v>
      </c>
      <c r="L86" s="296">
        <v>1502812</v>
      </c>
      <c r="M86" s="308">
        <f t="shared" si="12"/>
        <v>0</v>
      </c>
    </row>
    <row r="87" spans="1:13">
      <c r="A87" s="137">
        <v>46</v>
      </c>
      <c r="C87" s="240" t="s">
        <v>527</v>
      </c>
      <c r="D87" s="81" t="s">
        <v>190</v>
      </c>
      <c r="E87" s="32"/>
      <c r="F87" s="266">
        <f>ROUND('[2]WP FR-16(7)(v) A&amp;G WP'!D15*NPdemand,0)</f>
        <v>4997840</v>
      </c>
      <c r="G87" s="35">
        <f t="shared" si="15"/>
        <v>4997840</v>
      </c>
      <c r="H87" s="35">
        <f t="shared" si="16"/>
        <v>0</v>
      </c>
      <c r="I87" s="34">
        <f t="shared" si="17"/>
        <v>0</v>
      </c>
      <c r="J87" s="146">
        <f t="shared" si="18"/>
        <v>4997840</v>
      </c>
      <c r="K87" s="146">
        <f t="shared" si="19"/>
        <v>0</v>
      </c>
      <c r="L87" s="296">
        <v>4997840</v>
      </c>
      <c r="M87" s="308">
        <f t="shared" si="12"/>
        <v>0</v>
      </c>
    </row>
    <row r="88" spans="1:13">
      <c r="A88" s="137">
        <v>47</v>
      </c>
      <c r="C88" s="240" t="s">
        <v>526</v>
      </c>
      <c r="D88" s="81" t="s">
        <v>165</v>
      </c>
      <c r="E88" s="32"/>
      <c r="F88" s="266">
        <f>ROUND('[2]WP FR-16(7)(v) A&amp;G WP'!D15-F87,0)</f>
        <v>1665946</v>
      </c>
      <c r="G88" s="35">
        <f t="shared" si="15"/>
        <v>0</v>
      </c>
      <c r="H88" s="35">
        <f t="shared" si="16"/>
        <v>0</v>
      </c>
      <c r="I88" s="34">
        <f t="shared" si="17"/>
        <v>1665946</v>
      </c>
      <c r="J88" s="146">
        <f t="shared" si="18"/>
        <v>1665946</v>
      </c>
      <c r="K88" s="146">
        <f t="shared" si="19"/>
        <v>0</v>
      </c>
      <c r="L88" s="296">
        <v>1665946</v>
      </c>
      <c r="M88" s="308">
        <f t="shared" si="12"/>
        <v>0</v>
      </c>
    </row>
    <row r="89" spans="1:13">
      <c r="A89" s="137">
        <v>48</v>
      </c>
      <c r="C89" s="37" t="s">
        <v>369</v>
      </c>
      <c r="D89" s="81" t="s">
        <v>49</v>
      </c>
      <c r="E89" s="32"/>
      <c r="F89" s="266">
        <f>'[2]WP FR-16(7)(v) A&amp;G WP'!D16</f>
        <v>3597716</v>
      </c>
      <c r="G89" s="35">
        <f t="shared" si="15"/>
        <v>0</v>
      </c>
      <c r="H89" s="35">
        <f t="shared" si="16"/>
        <v>5864</v>
      </c>
      <c r="I89" s="34">
        <f t="shared" si="17"/>
        <v>3591852</v>
      </c>
      <c r="J89" s="146">
        <f t="shared" si="18"/>
        <v>3597716</v>
      </c>
      <c r="K89" s="146">
        <f t="shared" si="19"/>
        <v>0</v>
      </c>
      <c r="L89" s="296">
        <v>3597716</v>
      </c>
      <c r="M89" s="308">
        <f t="shared" si="12"/>
        <v>0</v>
      </c>
    </row>
    <row r="90" spans="1:13">
      <c r="A90" s="137">
        <v>49</v>
      </c>
      <c r="C90" s="37" t="s">
        <v>368</v>
      </c>
      <c r="D90" s="81" t="s">
        <v>47</v>
      </c>
      <c r="E90" s="32"/>
      <c r="F90" s="266">
        <f>'[2]WP FR-16(7)(v) A&amp;G WP'!D17</f>
        <v>286100</v>
      </c>
      <c r="G90" s="35">
        <f t="shared" si="15"/>
        <v>0</v>
      </c>
      <c r="H90" s="35">
        <f t="shared" si="16"/>
        <v>0</v>
      </c>
      <c r="I90" s="34">
        <f t="shared" si="17"/>
        <v>286100</v>
      </c>
      <c r="J90" s="146">
        <f t="shared" si="18"/>
        <v>286100</v>
      </c>
      <c r="K90" s="146">
        <f t="shared" si="19"/>
        <v>0</v>
      </c>
      <c r="L90" s="296">
        <v>286100</v>
      </c>
      <c r="M90" s="308">
        <f t="shared" si="12"/>
        <v>0</v>
      </c>
    </row>
    <row r="91" spans="1:13">
      <c r="A91" s="137">
        <v>50</v>
      </c>
      <c r="C91" s="37" t="s">
        <v>367</v>
      </c>
      <c r="D91" s="81" t="s">
        <v>45</v>
      </c>
      <c r="E91" s="32"/>
      <c r="F91" s="266">
        <f>'[2]WP FR-16(7)(v) A&amp;G WP'!D18</f>
        <v>0</v>
      </c>
      <c r="G91" s="35">
        <f t="shared" si="15"/>
        <v>0</v>
      </c>
      <c r="H91" s="35">
        <f t="shared" si="16"/>
        <v>0</v>
      </c>
      <c r="I91" s="34">
        <f t="shared" si="17"/>
        <v>0</v>
      </c>
      <c r="J91" s="146">
        <f t="shared" si="18"/>
        <v>0</v>
      </c>
      <c r="K91" s="146">
        <f t="shared" si="19"/>
        <v>0</v>
      </c>
      <c r="L91" s="296">
        <v>0</v>
      </c>
      <c r="M91" s="308">
        <f t="shared" si="12"/>
        <v>0</v>
      </c>
    </row>
    <row r="92" spans="1:13">
      <c r="A92" s="137">
        <v>51</v>
      </c>
      <c r="C92" s="37" t="s">
        <v>525</v>
      </c>
      <c r="D92" s="81" t="s">
        <v>43</v>
      </c>
      <c r="E92" s="32"/>
      <c r="F92" s="262">
        <v>0</v>
      </c>
      <c r="G92" s="35">
        <f t="shared" si="15"/>
        <v>0</v>
      </c>
      <c r="H92" s="35">
        <f t="shared" si="16"/>
        <v>0</v>
      </c>
      <c r="I92" s="34">
        <f t="shared" si="17"/>
        <v>0</v>
      </c>
      <c r="J92" s="146">
        <f t="shared" si="18"/>
        <v>0</v>
      </c>
      <c r="K92" s="146">
        <f t="shared" si="19"/>
        <v>0</v>
      </c>
      <c r="L92" s="287">
        <v>0</v>
      </c>
      <c r="M92" s="308">
        <f t="shared" si="12"/>
        <v>0</v>
      </c>
    </row>
    <row r="93" spans="1:13">
      <c r="A93" s="137">
        <v>52</v>
      </c>
      <c r="C93" s="152" t="s">
        <v>573</v>
      </c>
      <c r="D93" s="81"/>
      <c r="E93" s="32"/>
      <c r="F93" s="267">
        <f t="shared" ref="F93:K93" si="20">SUM(F84:F92)</f>
        <v>28554117</v>
      </c>
      <c r="G93" s="151">
        <f t="shared" si="20"/>
        <v>21501543</v>
      </c>
      <c r="H93" s="151">
        <f t="shared" si="20"/>
        <v>1508676</v>
      </c>
      <c r="I93" s="150">
        <f t="shared" si="20"/>
        <v>5543898</v>
      </c>
      <c r="J93" s="5">
        <f t="shared" si="20"/>
        <v>28554117</v>
      </c>
      <c r="K93" s="5">
        <f t="shared" si="20"/>
        <v>0</v>
      </c>
      <c r="L93" s="288">
        <v>28554117</v>
      </c>
      <c r="M93" s="308">
        <f t="shared" si="12"/>
        <v>0</v>
      </c>
    </row>
    <row r="94" spans="1:13">
      <c r="A94" s="137">
        <v>53</v>
      </c>
      <c r="D94" s="81"/>
      <c r="E94" s="32"/>
      <c r="F94" s="258"/>
      <c r="G94" s="40"/>
      <c r="H94" s="40"/>
      <c r="I94" s="39"/>
      <c r="M94" s="308">
        <f t="shared" si="12"/>
        <v>0</v>
      </c>
    </row>
    <row r="95" spans="1:13">
      <c r="A95" s="137">
        <v>54</v>
      </c>
      <c r="B95" s="1" t="s">
        <v>530</v>
      </c>
      <c r="D95" s="81"/>
      <c r="E95" s="32"/>
      <c r="F95" s="258"/>
      <c r="G95" s="40"/>
      <c r="H95" s="40"/>
      <c r="I95" s="39"/>
      <c r="M95" s="308">
        <f t="shared" si="12"/>
        <v>0</v>
      </c>
    </row>
    <row r="96" spans="1:13">
      <c r="A96" s="137">
        <v>55</v>
      </c>
      <c r="C96" s="37" t="s">
        <v>529</v>
      </c>
      <c r="D96" s="81" t="s">
        <v>190</v>
      </c>
      <c r="E96" s="32"/>
      <c r="F96" s="266">
        <f>'[2]WP FR-16(7)(v) A&amp;G WP'!F12</f>
        <v>9654427</v>
      </c>
      <c r="G96" s="35">
        <f t="shared" ref="G96:G104" si="21">F96-SUM(H96:I96)</f>
        <v>9654427</v>
      </c>
      <c r="H96" s="35">
        <f t="shared" ref="H96:H104" si="22">ROUND(F96*VLOOKUP(D96,ALLOCTABLE_FUNCTIONAL,$H$10,FALSE),0)</f>
        <v>0</v>
      </c>
      <c r="I96" s="34">
        <f t="shared" ref="I96:I104" si="23">ROUND(F96*VLOOKUP(D96,ALLOCTABLE_FUNCTIONAL,$I$10,FALSE),0)</f>
        <v>0</v>
      </c>
      <c r="J96" s="146">
        <f t="shared" ref="J96:J104" si="24">SUM(G96:I96)</f>
        <v>9654427</v>
      </c>
      <c r="K96" s="146">
        <f t="shared" ref="K96:K104" si="25">F96-J96</f>
        <v>0</v>
      </c>
      <c r="L96" s="296">
        <v>9654427</v>
      </c>
      <c r="M96" s="308">
        <f t="shared" si="12"/>
        <v>0</v>
      </c>
    </row>
    <row r="97" spans="1:16">
      <c r="A97" s="137">
        <v>56</v>
      </c>
      <c r="C97" s="37" t="s">
        <v>528</v>
      </c>
      <c r="D97" s="81" t="s">
        <v>7</v>
      </c>
      <c r="E97" s="32"/>
      <c r="F97" s="266">
        <f>'[2]WP FR-16(7)(v) A&amp;G WP'!F13</f>
        <v>8460177</v>
      </c>
      <c r="G97" s="35">
        <f t="shared" si="21"/>
        <v>8460177</v>
      </c>
      <c r="H97" s="35">
        <f t="shared" si="22"/>
        <v>0</v>
      </c>
      <c r="I97" s="34">
        <f t="shared" si="23"/>
        <v>0</v>
      </c>
      <c r="J97" s="146">
        <f t="shared" si="24"/>
        <v>8460177</v>
      </c>
      <c r="K97" s="146">
        <f t="shared" si="25"/>
        <v>0</v>
      </c>
      <c r="L97" s="296">
        <v>8460177</v>
      </c>
      <c r="M97" s="308">
        <f t="shared" si="12"/>
        <v>0</v>
      </c>
    </row>
    <row r="98" spans="1:16">
      <c r="A98" s="137">
        <v>57</v>
      </c>
      <c r="C98" s="37" t="s">
        <v>370</v>
      </c>
      <c r="D98" s="81" t="s">
        <v>188</v>
      </c>
      <c r="E98" s="32"/>
      <c r="F98" s="266">
        <f>'[2]WP FR-16(7)(v) A&amp;G WP'!F14</f>
        <v>1649499</v>
      </c>
      <c r="G98" s="35">
        <f t="shared" si="21"/>
        <v>0</v>
      </c>
      <c r="H98" s="35">
        <f t="shared" si="22"/>
        <v>1649499</v>
      </c>
      <c r="I98" s="34">
        <f t="shared" si="23"/>
        <v>0</v>
      </c>
      <c r="J98" s="146">
        <f t="shared" si="24"/>
        <v>1649499</v>
      </c>
      <c r="K98" s="146">
        <f t="shared" si="25"/>
        <v>0</v>
      </c>
      <c r="L98" s="296">
        <v>1649499</v>
      </c>
      <c r="M98" s="308">
        <f t="shared" si="12"/>
        <v>0</v>
      </c>
    </row>
    <row r="99" spans="1:16">
      <c r="A99" s="137">
        <v>58</v>
      </c>
      <c r="C99" s="240" t="s">
        <v>527</v>
      </c>
      <c r="D99" s="81" t="s">
        <v>190</v>
      </c>
      <c r="E99" s="32"/>
      <c r="F99" s="266">
        <f>ROUND('[2]WP FR-16(7)(v) A&amp;G WP'!F15*NPdemand,0)</f>
        <v>5485671</v>
      </c>
      <c r="G99" s="35">
        <f t="shared" si="21"/>
        <v>5485671</v>
      </c>
      <c r="H99" s="35">
        <f t="shared" si="22"/>
        <v>0</v>
      </c>
      <c r="I99" s="34">
        <f t="shared" si="23"/>
        <v>0</v>
      </c>
      <c r="J99" s="146">
        <f t="shared" si="24"/>
        <v>5485671</v>
      </c>
      <c r="K99" s="146">
        <f t="shared" si="25"/>
        <v>0</v>
      </c>
      <c r="L99" s="296">
        <v>5485671</v>
      </c>
      <c r="M99" s="308">
        <f t="shared" si="12"/>
        <v>0</v>
      </c>
    </row>
    <row r="100" spans="1:16">
      <c r="A100" s="137">
        <v>59</v>
      </c>
      <c r="C100" s="240" t="s">
        <v>526</v>
      </c>
      <c r="D100" s="81" t="s">
        <v>165</v>
      </c>
      <c r="E100" s="32"/>
      <c r="F100" s="266">
        <f>ROUND('[2]WP FR-16(7)(v) A&amp;G WP'!F15-F99,0)</f>
        <v>1828557</v>
      </c>
      <c r="G100" s="35">
        <f t="shared" si="21"/>
        <v>0</v>
      </c>
      <c r="H100" s="35">
        <f t="shared" si="22"/>
        <v>0</v>
      </c>
      <c r="I100" s="34">
        <f t="shared" si="23"/>
        <v>1828557</v>
      </c>
      <c r="J100" s="146">
        <f t="shared" si="24"/>
        <v>1828557</v>
      </c>
      <c r="K100" s="146">
        <f t="shared" si="25"/>
        <v>0</v>
      </c>
      <c r="L100" s="296">
        <v>1828557</v>
      </c>
      <c r="M100" s="308">
        <f t="shared" si="12"/>
        <v>0</v>
      </c>
    </row>
    <row r="101" spans="1:16">
      <c r="A101" s="137">
        <v>60</v>
      </c>
      <c r="C101" s="37" t="s">
        <v>369</v>
      </c>
      <c r="D101" s="81" t="s">
        <v>49</v>
      </c>
      <c r="E101" s="32"/>
      <c r="F101" s="266">
        <f>'[2]WP FR-16(7)(v) A&amp;G WP'!F16</f>
        <v>3948884</v>
      </c>
      <c r="G101" s="35">
        <f t="shared" si="21"/>
        <v>0</v>
      </c>
      <c r="H101" s="35">
        <f t="shared" si="22"/>
        <v>6437</v>
      </c>
      <c r="I101" s="34">
        <f t="shared" si="23"/>
        <v>3942447</v>
      </c>
      <c r="J101" s="146">
        <f t="shared" si="24"/>
        <v>3948884</v>
      </c>
      <c r="K101" s="146">
        <f t="shared" si="25"/>
        <v>0</v>
      </c>
      <c r="L101" s="296">
        <v>3948884</v>
      </c>
      <c r="M101" s="308">
        <f t="shared" si="12"/>
        <v>0</v>
      </c>
    </row>
    <row r="102" spans="1:16">
      <c r="A102" s="137">
        <v>61</v>
      </c>
      <c r="C102" s="37" t="s">
        <v>368</v>
      </c>
      <c r="D102" s="81" t="s">
        <v>47</v>
      </c>
      <c r="E102" s="32"/>
      <c r="F102" s="266">
        <f>'[2]WP FR-16(7)(v) A&amp;G WP'!F17</f>
        <v>314026</v>
      </c>
      <c r="G102" s="35">
        <f t="shared" si="21"/>
        <v>0</v>
      </c>
      <c r="H102" s="35">
        <f t="shared" si="22"/>
        <v>0</v>
      </c>
      <c r="I102" s="34">
        <f t="shared" si="23"/>
        <v>314026</v>
      </c>
      <c r="J102" s="146">
        <f t="shared" si="24"/>
        <v>314026</v>
      </c>
      <c r="K102" s="146">
        <f t="shared" si="25"/>
        <v>0</v>
      </c>
      <c r="L102" s="296">
        <v>314026</v>
      </c>
      <c r="M102" s="308">
        <f t="shared" si="12"/>
        <v>0</v>
      </c>
    </row>
    <row r="103" spans="1:16">
      <c r="A103" s="137">
        <v>62</v>
      </c>
      <c r="C103" s="223" t="s">
        <v>367</v>
      </c>
      <c r="D103" s="81" t="s">
        <v>45</v>
      </c>
      <c r="E103" s="32"/>
      <c r="F103" s="266">
        <f>'[2]WP FR-16(7)(v) A&amp;G WP'!F18</f>
        <v>0</v>
      </c>
      <c r="G103" s="35">
        <f t="shared" si="21"/>
        <v>0</v>
      </c>
      <c r="H103" s="35">
        <f t="shared" si="22"/>
        <v>0</v>
      </c>
      <c r="I103" s="34">
        <f t="shared" si="23"/>
        <v>0</v>
      </c>
      <c r="J103" s="146">
        <f t="shared" si="24"/>
        <v>0</v>
      </c>
      <c r="K103" s="146">
        <f t="shared" si="25"/>
        <v>0</v>
      </c>
      <c r="L103" s="296">
        <v>0</v>
      </c>
      <c r="M103" s="308">
        <f t="shared" si="12"/>
        <v>0</v>
      </c>
    </row>
    <row r="104" spans="1:16">
      <c r="A104" s="137">
        <v>63</v>
      </c>
      <c r="C104" s="223" t="s">
        <v>525</v>
      </c>
      <c r="D104" s="81" t="s">
        <v>43</v>
      </c>
      <c r="E104" s="32"/>
      <c r="F104" s="262">
        <v>0</v>
      </c>
      <c r="G104" s="35">
        <f t="shared" si="21"/>
        <v>0</v>
      </c>
      <c r="H104" s="35">
        <f t="shared" si="22"/>
        <v>0</v>
      </c>
      <c r="I104" s="34">
        <f t="shared" si="23"/>
        <v>0</v>
      </c>
      <c r="J104" s="146">
        <f t="shared" si="24"/>
        <v>0</v>
      </c>
      <c r="K104" s="146">
        <f t="shared" si="25"/>
        <v>0</v>
      </c>
      <c r="L104" s="287">
        <v>0</v>
      </c>
      <c r="M104" s="308">
        <f t="shared" si="12"/>
        <v>0</v>
      </c>
    </row>
    <row r="105" spans="1:16">
      <c r="A105" s="137">
        <v>64</v>
      </c>
      <c r="C105" s="152" t="s">
        <v>524</v>
      </c>
      <c r="E105" s="32"/>
      <c r="F105" s="260">
        <f t="shared" ref="F105:K105" si="26">SUM(F96:F104)</f>
        <v>31341241</v>
      </c>
      <c r="G105" s="151">
        <f t="shared" si="26"/>
        <v>23600275</v>
      </c>
      <c r="H105" s="151">
        <f t="shared" si="26"/>
        <v>1655936</v>
      </c>
      <c r="I105" s="150">
        <f t="shared" si="26"/>
        <v>6085030</v>
      </c>
      <c r="J105" s="5">
        <f t="shared" si="26"/>
        <v>31341241</v>
      </c>
      <c r="K105" s="5">
        <f t="shared" si="26"/>
        <v>0</v>
      </c>
      <c r="L105" s="307">
        <v>31341241</v>
      </c>
      <c r="M105" s="308">
        <f t="shared" si="12"/>
        <v>0</v>
      </c>
    </row>
    <row r="106" spans="1:16">
      <c r="A106" s="137">
        <v>65</v>
      </c>
      <c r="E106" s="32"/>
      <c r="F106" s="258"/>
      <c r="G106" s="40"/>
      <c r="H106" s="40"/>
      <c r="I106" s="39"/>
      <c r="M106" s="308">
        <f t="shared" si="12"/>
        <v>0</v>
      </c>
    </row>
    <row r="107" spans="1:16">
      <c r="A107" s="137">
        <v>66</v>
      </c>
      <c r="B107" s="1" t="s">
        <v>146</v>
      </c>
      <c r="E107" s="32"/>
      <c r="F107" s="259">
        <f t="shared" ref="F107:K107" si="27">F81+F93+F105</f>
        <v>1730844119</v>
      </c>
      <c r="G107" s="148">
        <f t="shared" si="27"/>
        <v>1178879930</v>
      </c>
      <c r="H107" s="148">
        <f t="shared" si="27"/>
        <v>68978819</v>
      </c>
      <c r="I107" s="147">
        <f t="shared" si="27"/>
        <v>482985370</v>
      </c>
      <c r="J107" s="146">
        <f t="shared" si="27"/>
        <v>1730844119</v>
      </c>
      <c r="K107" s="146">
        <f t="shared" si="27"/>
        <v>0</v>
      </c>
      <c r="L107" s="298">
        <v>1730844119</v>
      </c>
      <c r="M107" s="308">
        <f t="shared" si="12"/>
        <v>0</v>
      </c>
      <c r="N107" s="242">
        <f>ROUND(G107/F107,4)</f>
        <v>0.68110000000000004</v>
      </c>
      <c r="O107" s="242">
        <f>ROUND(H107/F107,4)</f>
        <v>3.9899999999999998E-2</v>
      </c>
      <c r="P107" s="242">
        <f>ROUND(I107/F107,4)</f>
        <v>0.27900000000000003</v>
      </c>
    </row>
    <row r="108" spans="1:16">
      <c r="B108" s="67"/>
      <c r="C108" s="32"/>
      <c r="D108" s="12"/>
      <c r="E108" s="32"/>
      <c r="F108" s="255"/>
      <c r="G108" s="27"/>
      <c r="H108" s="27"/>
      <c r="I108" s="27"/>
      <c r="J108" s="27"/>
      <c r="K108" s="27"/>
      <c r="L108" s="253"/>
      <c r="M108" s="308">
        <f t="shared" si="12"/>
        <v>0</v>
      </c>
    </row>
    <row r="109" spans="1:16">
      <c r="A109" s="67" t="str">
        <f>co_name</f>
        <v>DUKE ENERGY KENTUCKY, INC.</v>
      </c>
      <c r="C109" s="32"/>
      <c r="D109" s="12"/>
      <c r="E109" s="32"/>
      <c r="F109" s="255"/>
      <c r="G109" s="27"/>
      <c r="H109" s="27"/>
      <c r="I109" s="27"/>
      <c r="J109" s="27" t="str">
        <f>J1</f>
        <v>FR-16(7)(v)-1</v>
      </c>
      <c r="K109" s="27"/>
      <c r="L109" s="253"/>
      <c r="M109" s="308">
        <f t="shared" si="12"/>
        <v>0</v>
      </c>
    </row>
    <row r="110" spans="1:16">
      <c r="A110" s="67" t="str">
        <f>$A$2</f>
        <v>FUNCTIONAL ELECTRIC COST OF SERVICE</v>
      </c>
      <c r="C110" s="32"/>
      <c r="D110" s="12"/>
      <c r="E110" s="32"/>
      <c r="F110" s="255"/>
      <c r="G110" s="27"/>
      <c r="H110" s="27"/>
      <c r="I110" s="27"/>
      <c r="J110" s="27" t="str">
        <f>J2</f>
        <v>WITNESS RESPONSIBLE:</v>
      </c>
      <c r="K110" s="27"/>
      <c r="L110" s="253"/>
      <c r="M110" s="308">
        <f t="shared" si="12"/>
        <v>0</v>
      </c>
    </row>
    <row r="111" spans="1:16">
      <c r="A111" s="67" t="str">
        <f>case_name</f>
        <v>CASE NO: 2017-00321</v>
      </c>
      <c r="C111" s="32"/>
      <c r="D111" s="12"/>
      <c r="E111" s="32"/>
      <c r="F111" s="255"/>
      <c r="G111" s="27"/>
      <c r="H111" s="27"/>
      <c r="I111" s="27"/>
      <c r="J111" s="27" t="str">
        <f>Witness</f>
        <v>JAMES E. ZIOLKOWSKI</v>
      </c>
      <c r="K111" s="27"/>
      <c r="L111" s="253"/>
      <c r="M111" s="308">
        <f t="shared" si="12"/>
        <v>0</v>
      </c>
    </row>
    <row r="112" spans="1:16">
      <c r="A112" s="67" t="str">
        <f>data_filing</f>
        <v>DATA: 12 MONTHS ACTUAL  &amp; 0 MONTHS ESTIMATED</v>
      </c>
      <c r="C112" s="32"/>
      <c r="D112" s="12"/>
      <c r="E112" s="32"/>
      <c r="F112" s="255"/>
      <c r="G112" s="27"/>
      <c r="H112" s="27"/>
      <c r="I112" s="27"/>
      <c r="J112" s="27" t="str">
        <f>"PAGE "&amp;Pages-15&amp;" OF "&amp;Pages</f>
        <v>PAGE 3 OF 18</v>
      </c>
      <c r="K112" s="27"/>
      <c r="L112" s="253"/>
      <c r="M112" s="308">
        <f t="shared" si="12"/>
        <v>0</v>
      </c>
    </row>
    <row r="113" spans="1:15">
      <c r="A113" s="67" t="str">
        <f>type</f>
        <v xml:space="preserve">TYPE OF FILING: "X" ORIGINAL   UPDATED    REVISED  </v>
      </c>
      <c r="C113" s="32"/>
      <c r="D113" s="12"/>
      <c r="E113" s="32"/>
      <c r="F113" s="255"/>
      <c r="G113" s="27"/>
      <c r="H113" s="27"/>
      <c r="I113" s="27"/>
      <c r="J113" s="27"/>
      <c r="K113" s="27"/>
      <c r="L113" s="253"/>
      <c r="M113" s="308">
        <f t="shared" si="12"/>
        <v>0</v>
      </c>
    </row>
    <row r="114" spans="1:15">
      <c r="A114" s="67"/>
      <c r="C114" s="32"/>
      <c r="D114" s="12"/>
      <c r="E114" s="32"/>
      <c r="F114" s="255"/>
      <c r="G114" s="27"/>
      <c r="H114" s="27"/>
      <c r="I114" s="27"/>
      <c r="J114" s="27"/>
      <c r="K114" s="27"/>
      <c r="L114" s="253"/>
      <c r="M114" s="308">
        <f t="shared" si="12"/>
        <v>0</v>
      </c>
    </row>
    <row r="115" spans="1:15">
      <c r="B115" s="67"/>
      <c r="C115" s="32"/>
      <c r="D115" s="12"/>
      <c r="E115" s="32"/>
      <c r="F115" s="255"/>
      <c r="G115" s="27"/>
      <c r="H115" s="27"/>
      <c r="I115" s="27"/>
      <c r="J115" s="27"/>
      <c r="K115" s="27"/>
      <c r="L115" s="253"/>
      <c r="M115" s="308">
        <f t="shared" si="12"/>
        <v>0</v>
      </c>
    </row>
    <row r="116" spans="1:15">
      <c r="A116" s="8" t="s">
        <v>91</v>
      </c>
      <c r="B116" s="27"/>
      <c r="C116" s="32"/>
      <c r="D116" s="12"/>
      <c r="E116" s="32"/>
      <c r="F116" s="256" t="s">
        <v>1</v>
      </c>
      <c r="G116" s="65" t="s">
        <v>90</v>
      </c>
      <c r="H116" s="65"/>
      <c r="I116" s="64"/>
      <c r="J116" s="8" t="s">
        <v>1</v>
      </c>
      <c r="K116" s="8" t="s">
        <v>89</v>
      </c>
      <c r="L116" s="284" t="s">
        <v>1</v>
      </c>
      <c r="M116" s="308" t="e">
        <f t="shared" si="12"/>
        <v>#VALUE!</v>
      </c>
    </row>
    <row r="117" spans="1:15">
      <c r="A117" s="57" t="s">
        <v>88</v>
      </c>
      <c r="B117" s="145" t="s">
        <v>572</v>
      </c>
      <c r="C117" s="62"/>
      <c r="D117" s="56" t="s">
        <v>85</v>
      </c>
      <c r="E117" s="62"/>
      <c r="F117" s="264" t="str">
        <f>$F$9</f>
        <v>ELECTRIC</v>
      </c>
      <c r="G117" s="59" t="str">
        <f t="shared" ref="G117:I118" si="28">G9</f>
        <v>PRODUCTION</v>
      </c>
      <c r="H117" s="59" t="str">
        <f t="shared" si="28"/>
        <v>TRANSMISSION</v>
      </c>
      <c r="I117" s="58" t="str">
        <f t="shared" si="28"/>
        <v>DISTRIBUTION</v>
      </c>
      <c r="J117" s="57" t="s">
        <v>84</v>
      </c>
      <c r="K117" s="57" t="s">
        <v>83</v>
      </c>
      <c r="L117" s="285" t="s">
        <v>82</v>
      </c>
      <c r="M117" s="308" t="e">
        <f t="shared" si="12"/>
        <v>#VALUE!</v>
      </c>
    </row>
    <row r="118" spans="1:15">
      <c r="C118" s="144" t="s">
        <v>571</v>
      </c>
      <c r="D118" s="12"/>
      <c r="E118" s="32"/>
      <c r="F118" s="258"/>
      <c r="G118" s="53">
        <f t="shared" si="28"/>
        <v>3</v>
      </c>
      <c r="H118" s="53">
        <f t="shared" si="28"/>
        <v>4</v>
      </c>
      <c r="I118" s="52">
        <f t="shared" si="28"/>
        <v>5</v>
      </c>
      <c r="M118" s="308">
        <f t="shared" si="12"/>
        <v>0</v>
      </c>
    </row>
    <row r="119" spans="1:15">
      <c r="A119" s="137">
        <v>1</v>
      </c>
      <c r="B119" s="1" t="s">
        <v>560</v>
      </c>
      <c r="D119" s="12"/>
      <c r="E119" s="32"/>
      <c r="F119" s="258"/>
      <c r="G119" s="40"/>
      <c r="H119" s="40"/>
      <c r="I119" s="39"/>
      <c r="M119" s="308">
        <f t="shared" si="12"/>
        <v>0</v>
      </c>
    </row>
    <row r="120" spans="1:15">
      <c r="A120" s="137">
        <v>2</v>
      </c>
      <c r="C120" s="223" t="s">
        <v>559</v>
      </c>
      <c r="D120" s="81" t="s">
        <v>190</v>
      </c>
      <c r="E120" s="32"/>
      <c r="F120" s="262">
        <f>'[4]SCH B-3'!$K$319</f>
        <v>451443084</v>
      </c>
      <c r="G120" s="35">
        <f>F120-SUM(H120:I120)</f>
        <v>451443084</v>
      </c>
      <c r="H120" s="35">
        <f>ROUND(F120*VLOOKUP(D120,ALLOCTABLE_FUNCTIONAL,$H$10,FALSE),0)</f>
        <v>0</v>
      </c>
      <c r="I120" s="34">
        <f>ROUND(F120*VLOOKUP(D120,ALLOCTABLE_FUNCTIONAL,$I$10,FALSE),0)</f>
        <v>0</v>
      </c>
      <c r="J120" s="146">
        <f>SUM(G120:I120)</f>
        <v>451443084</v>
      </c>
      <c r="K120" s="146">
        <f>F120-J120</f>
        <v>0</v>
      </c>
      <c r="L120" s="287">
        <v>451443084</v>
      </c>
      <c r="M120" s="308">
        <f t="shared" si="12"/>
        <v>0</v>
      </c>
    </row>
    <row r="121" spans="1:15">
      <c r="A121" s="137">
        <v>3</v>
      </c>
      <c r="C121" s="223" t="s">
        <v>558</v>
      </c>
      <c r="D121" s="81" t="s">
        <v>190</v>
      </c>
      <c r="E121" s="32"/>
      <c r="F121" s="262">
        <f>'[4]SCH B-3'!$K$362</f>
        <v>169211512</v>
      </c>
      <c r="G121" s="35">
        <f>F121-SUM(H121:I121)</f>
        <v>169211512</v>
      </c>
      <c r="H121" s="35">
        <f>ROUND(F121*VLOOKUP(D121,ALLOCTABLE_FUNCTIONAL,$H$10,FALSE),0)</f>
        <v>0</v>
      </c>
      <c r="I121" s="34">
        <f>ROUND(F121*VLOOKUP(D121,ALLOCTABLE_FUNCTIONAL,$I$10,FALSE),0)</f>
        <v>0</v>
      </c>
      <c r="J121" s="146">
        <f>SUM(G121:I121)</f>
        <v>169211512</v>
      </c>
      <c r="K121" s="146">
        <f>F121-J121</f>
        <v>0</v>
      </c>
      <c r="L121" s="287">
        <v>169211512</v>
      </c>
      <c r="M121" s="308">
        <f t="shared" si="12"/>
        <v>0</v>
      </c>
    </row>
    <row r="122" spans="1:15">
      <c r="A122" s="137">
        <v>4</v>
      </c>
      <c r="C122" s="217" t="s">
        <v>525</v>
      </c>
      <c r="D122" s="81" t="s">
        <v>190</v>
      </c>
      <c r="E122" s="32"/>
      <c r="F122" s="262">
        <f>[4]SCH_D2.24!$U$51</f>
        <v>5973380</v>
      </c>
      <c r="G122" s="35">
        <f>F122-SUM(H122:I122)</f>
        <v>5973380</v>
      </c>
      <c r="H122" s="35">
        <f>ROUND(F122*VLOOKUP(D122,ALLOCTABLE_FUNCTIONAL,$H$10,FALSE),0)</f>
        <v>0</v>
      </c>
      <c r="I122" s="34">
        <f>ROUND(F122*VLOOKUP(D122,ALLOCTABLE_FUNCTIONAL,$I$10,FALSE),0)</f>
        <v>0</v>
      </c>
      <c r="J122" s="146">
        <f>SUM(G122:I122)</f>
        <v>5973380</v>
      </c>
      <c r="K122" s="146">
        <f>F122-J122</f>
        <v>0</v>
      </c>
      <c r="L122" s="287">
        <v>5973380</v>
      </c>
      <c r="M122" s="308">
        <f t="shared" si="12"/>
        <v>0</v>
      </c>
    </row>
    <row r="123" spans="1:15">
      <c r="A123" s="137">
        <v>5</v>
      </c>
      <c r="C123" s="152" t="s">
        <v>570</v>
      </c>
      <c r="D123" s="81"/>
      <c r="E123" s="32"/>
      <c r="F123" s="260">
        <f t="shared" ref="F123:K123" si="29">SUM(F120:F122)</f>
        <v>626627976</v>
      </c>
      <c r="G123" s="151">
        <f t="shared" si="29"/>
        <v>626627976</v>
      </c>
      <c r="H123" s="151">
        <f t="shared" si="29"/>
        <v>0</v>
      </c>
      <c r="I123" s="150">
        <f t="shared" si="29"/>
        <v>0</v>
      </c>
      <c r="J123" s="5">
        <f t="shared" si="29"/>
        <v>626627976</v>
      </c>
      <c r="K123" s="5">
        <f t="shared" si="29"/>
        <v>0</v>
      </c>
      <c r="L123" s="307">
        <v>626627976</v>
      </c>
      <c r="M123" s="308">
        <f t="shared" si="12"/>
        <v>0</v>
      </c>
    </row>
    <row r="124" spans="1:15">
      <c r="A124" s="137">
        <v>6</v>
      </c>
      <c r="D124" s="81"/>
      <c r="E124" s="32"/>
      <c r="F124" s="258"/>
      <c r="G124" s="40"/>
      <c r="H124" s="40"/>
      <c r="I124" s="39"/>
      <c r="M124" s="308">
        <f t="shared" si="12"/>
        <v>0</v>
      </c>
    </row>
    <row r="125" spans="1:15">
      <c r="A125" s="137">
        <v>7</v>
      </c>
      <c r="B125" s="1" t="s">
        <v>556</v>
      </c>
      <c r="D125" s="81"/>
      <c r="E125" s="32"/>
      <c r="F125" s="258"/>
      <c r="G125" s="40"/>
      <c r="H125" s="40"/>
      <c r="I125" s="39"/>
      <c r="M125" s="308">
        <f t="shared" si="12"/>
        <v>0</v>
      </c>
    </row>
    <row r="126" spans="1:15">
      <c r="A126" s="137">
        <v>8</v>
      </c>
      <c r="C126" s="223" t="s">
        <v>555</v>
      </c>
      <c r="D126" s="81" t="s">
        <v>188</v>
      </c>
      <c r="E126" s="32"/>
      <c r="F126" s="262">
        <v>0</v>
      </c>
      <c r="G126" s="35">
        <f>F126-SUM(H126:I126)</f>
        <v>0</v>
      </c>
      <c r="H126" s="35">
        <f>ROUND(F126*VLOOKUP(D126,ALLOCTABLE_FUNCTIONAL,$H$10,FALSE),0)</f>
        <v>0</v>
      </c>
      <c r="I126" s="34">
        <f>ROUND(F126*VLOOKUP(D126,ALLOCTABLE_FUNCTIONAL,$I$10,FALSE),0)</f>
        <v>0</v>
      </c>
      <c r="J126" s="146">
        <f>SUM(G126:I126)</f>
        <v>0</v>
      </c>
      <c r="K126" s="146">
        <f>F126-J126</f>
        <v>0</v>
      </c>
      <c r="L126" s="287">
        <v>0</v>
      </c>
      <c r="M126" s="308">
        <f t="shared" si="12"/>
        <v>0</v>
      </c>
    </row>
    <row r="127" spans="1:15">
      <c r="A127" s="137">
        <v>9</v>
      </c>
      <c r="C127" s="223" t="s">
        <v>415</v>
      </c>
      <c r="D127" s="81" t="s">
        <v>188</v>
      </c>
      <c r="E127" s="32"/>
      <c r="F127" s="262">
        <f>'[4]SCH B-3'!$K$402</f>
        <v>18887171</v>
      </c>
      <c r="G127" s="35">
        <f>F127-SUM(H127:I127)</f>
        <v>0</v>
      </c>
      <c r="H127" s="35">
        <f>ROUND(F127*VLOOKUP(D127,ALLOCTABLE_FUNCTIONAL,$H$10,FALSE),0)</f>
        <v>18887171</v>
      </c>
      <c r="I127" s="34">
        <f>ROUND(F127*VLOOKUP(D127,ALLOCTABLE_FUNCTIONAL,$I$10,FALSE),0)</f>
        <v>0</v>
      </c>
      <c r="J127" s="146">
        <f>SUM(G127:I127)</f>
        <v>18887171</v>
      </c>
      <c r="K127" s="146">
        <f>F127-J127</f>
        <v>0</v>
      </c>
      <c r="L127" s="287">
        <v>18887171</v>
      </c>
      <c r="M127" s="308">
        <f t="shared" si="12"/>
        <v>0</v>
      </c>
    </row>
    <row r="128" spans="1:15">
      <c r="A128" s="137">
        <v>10</v>
      </c>
      <c r="C128" s="217" t="s">
        <v>525</v>
      </c>
      <c r="D128" s="81" t="s">
        <v>188</v>
      </c>
      <c r="E128" s="32"/>
      <c r="F128" s="262">
        <f>[4]SCH_D2.24!$V$51</f>
        <v>475730</v>
      </c>
      <c r="G128" s="35">
        <f>F128-SUM(H128:I128)</f>
        <v>0</v>
      </c>
      <c r="H128" s="35">
        <f>ROUND(F128*VLOOKUP(D128,ALLOCTABLE_FUNCTIONAL,$H$10,FALSE),0)</f>
        <v>475730</v>
      </c>
      <c r="I128" s="34">
        <f>ROUND(F128*VLOOKUP(D128,ALLOCTABLE_FUNCTIONAL,$I$10,FALSE),0)</f>
        <v>0</v>
      </c>
      <c r="J128" s="146">
        <f>SUM(G128:I128)</f>
        <v>475730</v>
      </c>
      <c r="K128" s="146">
        <f>F128-J128</f>
        <v>0</v>
      </c>
      <c r="L128" s="287">
        <v>475730</v>
      </c>
      <c r="M128" s="308">
        <f t="shared" si="12"/>
        <v>0</v>
      </c>
      <c r="O128" s="85"/>
    </row>
    <row r="129" spans="1:13">
      <c r="A129" s="137">
        <v>11</v>
      </c>
      <c r="C129" s="3" t="s">
        <v>569</v>
      </c>
      <c r="D129" s="81"/>
      <c r="E129" s="32"/>
      <c r="F129" s="260">
        <f t="shared" ref="F129:K129" si="30">SUM(F126:F128)</f>
        <v>19362901</v>
      </c>
      <c r="G129" s="151">
        <f t="shared" si="30"/>
        <v>0</v>
      </c>
      <c r="H129" s="151">
        <f t="shared" si="30"/>
        <v>19362901</v>
      </c>
      <c r="I129" s="150">
        <f t="shared" si="30"/>
        <v>0</v>
      </c>
      <c r="J129" s="5">
        <f t="shared" si="30"/>
        <v>19362901</v>
      </c>
      <c r="K129" s="5">
        <f t="shared" si="30"/>
        <v>0</v>
      </c>
      <c r="L129" s="307">
        <v>19362901</v>
      </c>
      <c r="M129" s="308">
        <f t="shared" si="12"/>
        <v>0</v>
      </c>
    </row>
    <row r="130" spans="1:13">
      <c r="A130" s="137">
        <v>12</v>
      </c>
      <c r="D130" s="81"/>
      <c r="E130" s="32"/>
      <c r="F130" s="258"/>
      <c r="G130" s="40"/>
      <c r="H130" s="40"/>
      <c r="I130" s="39"/>
      <c r="M130" s="308">
        <f t="shared" si="12"/>
        <v>0</v>
      </c>
    </row>
    <row r="131" spans="1:13">
      <c r="A131" s="137">
        <v>13</v>
      </c>
      <c r="C131" s="3" t="s">
        <v>568</v>
      </c>
      <c r="D131" s="81"/>
      <c r="E131" s="32"/>
      <c r="F131" s="266">
        <f>F129+F123</f>
        <v>645990877</v>
      </c>
      <c r="G131" s="35">
        <f>G129+G123</f>
        <v>626627976</v>
      </c>
      <c r="H131" s="35">
        <f>H129+H123</f>
        <v>19362901</v>
      </c>
      <c r="I131" s="34">
        <f>I129+I123</f>
        <v>0</v>
      </c>
      <c r="J131" s="146">
        <f>J129+J123</f>
        <v>645990877</v>
      </c>
      <c r="K131" s="146">
        <f>F131-J131</f>
        <v>0</v>
      </c>
      <c r="L131" s="296">
        <v>645990877</v>
      </c>
      <c r="M131" s="308">
        <f t="shared" si="12"/>
        <v>0</v>
      </c>
    </row>
    <row r="132" spans="1:13">
      <c r="A132" s="137">
        <v>14</v>
      </c>
      <c r="D132" s="81"/>
      <c r="E132" s="32"/>
      <c r="F132" s="258"/>
      <c r="G132" s="40"/>
      <c r="H132" s="40"/>
      <c r="I132" s="39"/>
      <c r="M132" s="308">
        <f t="shared" si="12"/>
        <v>0</v>
      </c>
    </row>
    <row r="133" spans="1:13">
      <c r="A133" s="137">
        <v>15</v>
      </c>
      <c r="B133" s="3" t="s">
        <v>552</v>
      </c>
      <c r="D133" s="81"/>
      <c r="E133" s="32"/>
      <c r="F133" s="258"/>
      <c r="G133" s="40"/>
      <c r="H133" s="40"/>
      <c r="I133" s="39"/>
      <c r="M133" s="308">
        <f t="shared" si="12"/>
        <v>0</v>
      </c>
    </row>
    <row r="134" spans="1:13">
      <c r="A134" s="137">
        <v>16</v>
      </c>
      <c r="C134" s="37" t="s">
        <v>407</v>
      </c>
      <c r="D134" s="81" t="s">
        <v>178</v>
      </c>
      <c r="E134" s="32"/>
      <c r="F134" s="262">
        <f>'[4]SCH B-3'!$K$428+'[4]SCH B-3'!$K$430+'[4]SCH B-3'!$K$431+'[4]SCH B-3'!$K$432</f>
        <v>21980974</v>
      </c>
      <c r="G134" s="35">
        <f t="shared" ref="G134:G154" si="31">F134-SUM(H134:I134)</f>
        <v>0</v>
      </c>
      <c r="H134" s="35">
        <f t="shared" ref="H134:H154" si="32">ROUND(F134*VLOOKUP(D134,ALLOCTABLE_FUNCTIONAL,$H$10,FALSE),0)</f>
        <v>0</v>
      </c>
      <c r="I134" s="34">
        <f t="shared" ref="I134:I154" si="33">ROUND(F134*VLOOKUP(D134,ALLOCTABLE_FUNCTIONAL,$I$10,FALSE),0)</f>
        <v>21980974</v>
      </c>
      <c r="J134" s="146">
        <f t="shared" ref="J134:J154" si="34">SUM(G134:I134)</f>
        <v>21980974</v>
      </c>
      <c r="K134" s="146">
        <f t="shared" ref="K134:K154" si="35">F134-J134</f>
        <v>0</v>
      </c>
      <c r="L134" s="287">
        <v>21980974</v>
      </c>
      <c r="M134" s="308">
        <f t="shared" si="12"/>
        <v>0</v>
      </c>
    </row>
    <row r="135" spans="1:13">
      <c r="A135" s="137">
        <v>17</v>
      </c>
      <c r="C135" s="230" t="s">
        <v>551</v>
      </c>
      <c r="D135" s="229" t="s">
        <v>184</v>
      </c>
      <c r="E135" s="32"/>
      <c r="F135" s="266">
        <f>'[2]WP FR-16(7)(v) MinSizPrimPole1'!F22</f>
        <v>16525048</v>
      </c>
      <c r="G135" s="35">
        <f t="shared" si="31"/>
        <v>0</v>
      </c>
      <c r="H135" s="35">
        <f t="shared" si="32"/>
        <v>0</v>
      </c>
      <c r="I135" s="34">
        <f t="shared" si="33"/>
        <v>16525048</v>
      </c>
      <c r="J135" s="146">
        <f t="shared" si="34"/>
        <v>16525048</v>
      </c>
      <c r="K135" s="146">
        <f t="shared" si="35"/>
        <v>0</v>
      </c>
      <c r="L135" s="296">
        <v>16525048</v>
      </c>
      <c r="M135" s="308">
        <f t="shared" si="12"/>
        <v>0</v>
      </c>
    </row>
    <row r="136" spans="1:13">
      <c r="A136" s="137">
        <v>18</v>
      </c>
      <c r="C136" s="230" t="s">
        <v>550</v>
      </c>
      <c r="D136" s="229" t="s">
        <v>165</v>
      </c>
      <c r="E136" s="32"/>
      <c r="F136" s="266">
        <f>'[2]WP FR-16(7)(v) MinSizPrimPole1'!G22</f>
        <v>7605060</v>
      </c>
      <c r="G136" s="35">
        <f t="shared" si="31"/>
        <v>0</v>
      </c>
      <c r="H136" s="35">
        <f t="shared" si="32"/>
        <v>0</v>
      </c>
      <c r="I136" s="34">
        <f t="shared" si="33"/>
        <v>7605060</v>
      </c>
      <c r="J136" s="146">
        <f t="shared" si="34"/>
        <v>7605060</v>
      </c>
      <c r="K136" s="146">
        <f t="shared" si="35"/>
        <v>0</v>
      </c>
      <c r="L136" s="296">
        <v>7605060</v>
      </c>
      <c r="M136" s="308">
        <f t="shared" si="12"/>
        <v>0</v>
      </c>
    </row>
    <row r="137" spans="1:13">
      <c r="A137" s="137">
        <v>19</v>
      </c>
      <c r="C137" s="230" t="s">
        <v>549</v>
      </c>
      <c r="D137" s="229" t="s">
        <v>182</v>
      </c>
      <c r="E137" s="32"/>
      <c r="F137" s="266">
        <f>'[2]WP FR-16(7)(v) MinSizSecPole1'!F22</f>
        <v>7113437</v>
      </c>
      <c r="G137" s="35">
        <f t="shared" si="31"/>
        <v>0</v>
      </c>
      <c r="H137" s="35">
        <f t="shared" si="32"/>
        <v>0</v>
      </c>
      <c r="I137" s="34">
        <f t="shared" si="33"/>
        <v>7113437</v>
      </c>
      <c r="J137" s="146">
        <f t="shared" si="34"/>
        <v>7113437</v>
      </c>
      <c r="K137" s="146">
        <f t="shared" si="35"/>
        <v>0</v>
      </c>
      <c r="L137" s="296">
        <v>7113437</v>
      </c>
      <c r="M137" s="308">
        <f t="shared" si="12"/>
        <v>0</v>
      </c>
    </row>
    <row r="138" spans="1:13">
      <c r="A138" s="137">
        <v>20</v>
      </c>
      <c r="C138" s="230" t="s">
        <v>548</v>
      </c>
      <c r="D138" s="229" t="s">
        <v>165</v>
      </c>
      <c r="E138" s="32"/>
      <c r="F138" s="266">
        <f>'[2]WP FR-16(7)(v) MinSizSecPole1'!G22</f>
        <v>1811397</v>
      </c>
      <c r="G138" s="35">
        <f t="shared" si="31"/>
        <v>0</v>
      </c>
      <c r="H138" s="35">
        <f t="shared" si="32"/>
        <v>0</v>
      </c>
      <c r="I138" s="34">
        <f t="shared" si="33"/>
        <v>1811397</v>
      </c>
      <c r="J138" s="146">
        <f t="shared" si="34"/>
        <v>1811397</v>
      </c>
      <c r="K138" s="146">
        <f t="shared" si="35"/>
        <v>0</v>
      </c>
      <c r="L138" s="296">
        <v>1811397</v>
      </c>
      <c r="M138" s="308">
        <f t="shared" si="12"/>
        <v>0</v>
      </c>
    </row>
    <row r="139" spans="1:13">
      <c r="A139" s="137">
        <v>21</v>
      </c>
      <c r="C139" s="230" t="s">
        <v>547</v>
      </c>
      <c r="D139" s="229" t="s">
        <v>184</v>
      </c>
      <c r="E139" s="32"/>
      <c r="F139" s="266">
        <f>'[2]WP FR-16(7)(v) MinSizOHPRIM1'!F22</f>
        <v>18811048</v>
      </c>
      <c r="G139" s="35">
        <f t="shared" si="31"/>
        <v>0</v>
      </c>
      <c r="H139" s="35">
        <f t="shared" si="32"/>
        <v>0</v>
      </c>
      <c r="I139" s="34">
        <f t="shared" si="33"/>
        <v>18811048</v>
      </c>
      <c r="J139" s="146">
        <f t="shared" si="34"/>
        <v>18811048</v>
      </c>
      <c r="K139" s="146">
        <f t="shared" si="35"/>
        <v>0</v>
      </c>
      <c r="L139" s="296">
        <v>18811048</v>
      </c>
      <c r="M139" s="308">
        <f t="shared" si="12"/>
        <v>0</v>
      </c>
    </row>
    <row r="140" spans="1:13">
      <c r="A140" s="137">
        <v>22</v>
      </c>
      <c r="C140" s="230" t="s">
        <v>546</v>
      </c>
      <c r="D140" s="229" t="s">
        <v>165</v>
      </c>
      <c r="E140" s="32"/>
      <c r="F140" s="266">
        <f>'[2]WP FR-16(7)(v) MinSizOHPRIM1'!G22</f>
        <v>5483889</v>
      </c>
      <c r="G140" s="35">
        <f t="shared" si="31"/>
        <v>0</v>
      </c>
      <c r="H140" s="35">
        <f t="shared" si="32"/>
        <v>0</v>
      </c>
      <c r="I140" s="34">
        <f t="shared" si="33"/>
        <v>5483889</v>
      </c>
      <c r="J140" s="146">
        <f t="shared" si="34"/>
        <v>5483889</v>
      </c>
      <c r="K140" s="146">
        <f t="shared" si="35"/>
        <v>0</v>
      </c>
      <c r="L140" s="296">
        <v>5483889</v>
      </c>
      <c r="M140" s="308">
        <f t="shared" ref="M140:M203" si="36">L140-F140</f>
        <v>0</v>
      </c>
    </row>
    <row r="141" spans="1:13">
      <c r="A141" s="137">
        <v>23</v>
      </c>
      <c r="C141" s="230" t="s">
        <v>545</v>
      </c>
      <c r="D141" s="229" t="s">
        <v>182</v>
      </c>
      <c r="E141" s="32"/>
      <c r="F141" s="266">
        <f>'[2]WP FR-16(7)(v) MinSizOHSEC1'!F22</f>
        <v>8753083</v>
      </c>
      <c r="G141" s="35">
        <f t="shared" si="31"/>
        <v>0</v>
      </c>
      <c r="H141" s="35">
        <f t="shared" si="32"/>
        <v>0</v>
      </c>
      <c r="I141" s="34">
        <f t="shared" si="33"/>
        <v>8753083</v>
      </c>
      <c r="J141" s="146">
        <f t="shared" si="34"/>
        <v>8753083</v>
      </c>
      <c r="K141" s="146">
        <f t="shared" si="35"/>
        <v>0</v>
      </c>
      <c r="L141" s="296">
        <v>8753083</v>
      </c>
      <c r="M141" s="308">
        <f t="shared" si="36"/>
        <v>0</v>
      </c>
    </row>
    <row r="142" spans="1:13">
      <c r="A142" s="137">
        <v>24</v>
      </c>
      <c r="C142" s="230" t="s">
        <v>544</v>
      </c>
      <c r="D142" s="229" t="s">
        <v>165</v>
      </c>
      <c r="E142" s="32"/>
      <c r="F142" s="266">
        <f>'[2]WP FR-16(7)(v) MinSizOHSEC1'!G22</f>
        <v>2162034</v>
      </c>
      <c r="G142" s="35">
        <f t="shared" si="31"/>
        <v>0</v>
      </c>
      <c r="H142" s="35">
        <f t="shared" si="32"/>
        <v>0</v>
      </c>
      <c r="I142" s="34">
        <f t="shared" si="33"/>
        <v>2162034</v>
      </c>
      <c r="J142" s="146">
        <f t="shared" si="34"/>
        <v>2162034</v>
      </c>
      <c r="K142" s="146">
        <f t="shared" si="35"/>
        <v>0</v>
      </c>
      <c r="L142" s="296">
        <v>2162034</v>
      </c>
      <c r="M142" s="308">
        <f t="shared" si="36"/>
        <v>0</v>
      </c>
    </row>
    <row r="143" spans="1:13">
      <c r="A143" s="137">
        <v>25</v>
      </c>
      <c r="C143" s="230" t="s">
        <v>543</v>
      </c>
      <c r="D143" s="229" t="s">
        <v>184</v>
      </c>
      <c r="E143" s="32"/>
      <c r="F143" s="266">
        <f>'[2]WP FR-16(7)(v) MinSizUGPRIM1'!F22</f>
        <v>15203495</v>
      </c>
      <c r="G143" s="35">
        <f t="shared" si="31"/>
        <v>0</v>
      </c>
      <c r="H143" s="35">
        <f t="shared" si="32"/>
        <v>0</v>
      </c>
      <c r="I143" s="34">
        <f t="shared" si="33"/>
        <v>15203495</v>
      </c>
      <c r="J143" s="146">
        <f t="shared" si="34"/>
        <v>15203495</v>
      </c>
      <c r="K143" s="146">
        <f t="shared" si="35"/>
        <v>0</v>
      </c>
      <c r="L143" s="296">
        <v>15203495</v>
      </c>
      <c r="M143" s="308">
        <f t="shared" si="36"/>
        <v>0</v>
      </c>
    </row>
    <row r="144" spans="1:13">
      <c r="A144" s="137">
        <v>26</v>
      </c>
      <c r="C144" s="230" t="s">
        <v>542</v>
      </c>
      <c r="D144" s="229" t="s">
        <v>165</v>
      </c>
      <c r="E144" s="32"/>
      <c r="F144" s="266">
        <f>'[2]WP FR-16(7)(v) MinSizUGPRIM1'!G22</f>
        <v>4387731</v>
      </c>
      <c r="G144" s="35">
        <f t="shared" si="31"/>
        <v>0</v>
      </c>
      <c r="H144" s="35">
        <f t="shared" si="32"/>
        <v>0</v>
      </c>
      <c r="I144" s="34">
        <f t="shared" si="33"/>
        <v>4387731</v>
      </c>
      <c r="J144" s="146">
        <f t="shared" si="34"/>
        <v>4387731</v>
      </c>
      <c r="K144" s="146">
        <f t="shared" si="35"/>
        <v>0</v>
      </c>
      <c r="L144" s="296">
        <v>4387731</v>
      </c>
      <c r="M144" s="308">
        <f t="shared" si="36"/>
        <v>0</v>
      </c>
    </row>
    <row r="145" spans="1:13">
      <c r="A145" s="137">
        <v>27</v>
      </c>
      <c r="C145" s="230" t="s">
        <v>541</v>
      </c>
      <c r="D145" s="229" t="s">
        <v>182</v>
      </c>
      <c r="E145" s="32"/>
      <c r="F145" s="266">
        <f>'[2]WP FR-16(7)(v) MinSizUGSEC1'!F22</f>
        <v>2557369</v>
      </c>
      <c r="G145" s="35">
        <f t="shared" si="31"/>
        <v>0</v>
      </c>
      <c r="H145" s="35">
        <f t="shared" si="32"/>
        <v>0</v>
      </c>
      <c r="I145" s="34">
        <f t="shared" si="33"/>
        <v>2557369</v>
      </c>
      <c r="J145" s="146">
        <f t="shared" si="34"/>
        <v>2557369</v>
      </c>
      <c r="K145" s="146">
        <f t="shared" si="35"/>
        <v>0</v>
      </c>
      <c r="L145" s="296">
        <v>2557369</v>
      </c>
      <c r="M145" s="308">
        <f t="shared" si="36"/>
        <v>0</v>
      </c>
    </row>
    <row r="146" spans="1:13">
      <c r="A146" s="137">
        <v>28</v>
      </c>
      <c r="C146" s="230" t="s">
        <v>540</v>
      </c>
      <c r="D146" s="229" t="s">
        <v>165</v>
      </c>
      <c r="E146" s="32"/>
      <c r="F146" s="266">
        <f>'[2]WP FR-16(7)(v) MinSizUGSEC1'!G22</f>
        <v>1455292</v>
      </c>
      <c r="G146" s="35">
        <f t="shared" si="31"/>
        <v>0</v>
      </c>
      <c r="H146" s="35">
        <f t="shared" si="32"/>
        <v>0</v>
      </c>
      <c r="I146" s="34">
        <f t="shared" si="33"/>
        <v>1455292</v>
      </c>
      <c r="J146" s="146">
        <f t="shared" si="34"/>
        <v>1455292</v>
      </c>
      <c r="K146" s="146">
        <f t="shared" si="35"/>
        <v>0</v>
      </c>
      <c r="L146" s="296">
        <v>1455292</v>
      </c>
      <c r="M146" s="308">
        <f t="shared" si="36"/>
        <v>0</v>
      </c>
    </row>
    <row r="147" spans="1:13">
      <c r="A147" s="137">
        <v>29</v>
      </c>
      <c r="C147" s="37" t="s">
        <v>397</v>
      </c>
      <c r="D147" s="81" t="s">
        <v>178</v>
      </c>
      <c r="E147" s="32"/>
      <c r="F147" s="266">
        <f>'[2]WP FR-16(7)(v) Min Siz Trans 1'!F23</f>
        <v>19933975</v>
      </c>
      <c r="G147" s="35">
        <f t="shared" si="31"/>
        <v>0</v>
      </c>
      <c r="H147" s="35">
        <f t="shared" si="32"/>
        <v>0</v>
      </c>
      <c r="I147" s="34">
        <f t="shared" si="33"/>
        <v>19933975</v>
      </c>
      <c r="J147" s="146">
        <f t="shared" si="34"/>
        <v>19933975</v>
      </c>
      <c r="K147" s="146">
        <f t="shared" si="35"/>
        <v>0</v>
      </c>
      <c r="L147" s="296">
        <v>19933975</v>
      </c>
      <c r="M147" s="308">
        <f t="shared" si="36"/>
        <v>0</v>
      </c>
    </row>
    <row r="148" spans="1:13">
      <c r="A148" s="137">
        <v>30</v>
      </c>
      <c r="C148" s="37" t="s">
        <v>396</v>
      </c>
      <c r="D148" s="81" t="s">
        <v>165</v>
      </c>
      <c r="E148" s="32"/>
      <c r="F148" s="266">
        <f>'[2]WP FR-16(7)(v) Min Siz Trans 1'!G23</f>
        <v>9547168</v>
      </c>
      <c r="G148" s="35">
        <f t="shared" si="31"/>
        <v>0</v>
      </c>
      <c r="H148" s="35">
        <f t="shared" si="32"/>
        <v>0</v>
      </c>
      <c r="I148" s="34">
        <f t="shared" si="33"/>
        <v>9547168</v>
      </c>
      <c r="J148" s="146">
        <f t="shared" si="34"/>
        <v>9547168</v>
      </c>
      <c r="K148" s="146">
        <f t="shared" si="35"/>
        <v>0</v>
      </c>
      <c r="L148" s="296">
        <v>9547168</v>
      </c>
      <c r="M148" s="308">
        <f t="shared" si="36"/>
        <v>0</v>
      </c>
    </row>
    <row r="149" spans="1:13">
      <c r="A149" s="137">
        <v>31</v>
      </c>
      <c r="C149" s="37" t="s">
        <v>539</v>
      </c>
      <c r="D149" s="81" t="s">
        <v>176</v>
      </c>
      <c r="E149" s="32"/>
      <c r="F149" s="262">
        <f>'[4]SCH B-3'!$K$440+'[4]SCH B-3'!$K$441</f>
        <v>10951271</v>
      </c>
      <c r="G149" s="35">
        <f t="shared" si="31"/>
        <v>0</v>
      </c>
      <c r="H149" s="35">
        <f t="shared" si="32"/>
        <v>0</v>
      </c>
      <c r="I149" s="34">
        <f t="shared" si="33"/>
        <v>10951271</v>
      </c>
      <c r="J149" s="146">
        <f t="shared" si="34"/>
        <v>10951271</v>
      </c>
      <c r="K149" s="146">
        <f t="shared" si="35"/>
        <v>0</v>
      </c>
      <c r="L149" s="287">
        <v>10951271</v>
      </c>
      <c r="M149" s="308">
        <f t="shared" si="36"/>
        <v>0</v>
      </c>
    </row>
    <row r="150" spans="1:13">
      <c r="A150" s="137">
        <v>32</v>
      </c>
      <c r="C150" s="37" t="s">
        <v>164</v>
      </c>
      <c r="D150" s="81" t="s">
        <v>163</v>
      </c>
      <c r="E150" s="32"/>
      <c r="F150" s="262">
        <f>'[4]SCH B-3'!$K$442+'[4]SCH B-3'!$K$444+'[4]SCH B-3'!$K$445+'[4]SCH B-3'!$K$447</f>
        <v>887250</v>
      </c>
      <c r="G150" s="35">
        <f t="shared" si="31"/>
        <v>0</v>
      </c>
      <c r="H150" s="35">
        <f t="shared" si="32"/>
        <v>2245</v>
      </c>
      <c r="I150" s="34">
        <f t="shared" si="33"/>
        <v>885005</v>
      </c>
      <c r="J150" s="146">
        <f t="shared" si="34"/>
        <v>887250</v>
      </c>
      <c r="K150" s="146">
        <f t="shared" si="35"/>
        <v>0</v>
      </c>
      <c r="L150" s="287">
        <v>887250</v>
      </c>
      <c r="M150" s="308">
        <f t="shared" si="36"/>
        <v>0</v>
      </c>
    </row>
    <row r="151" spans="1:13">
      <c r="A151" s="137">
        <v>33</v>
      </c>
      <c r="C151" s="37" t="s">
        <v>538</v>
      </c>
      <c r="D151" s="81" t="s">
        <v>167</v>
      </c>
      <c r="E151" s="32"/>
      <c r="F151" s="262">
        <f>'[4]SCH B-3'!$K$446+'[4]SCH B-3'!$K$448+'[4]SCH B-3'!$K$449+'[4]SCH B-3'!$K$450+'[4]SCH B-3'!$K$451</f>
        <v>4860343</v>
      </c>
      <c r="G151" s="35">
        <f t="shared" si="31"/>
        <v>0</v>
      </c>
      <c r="H151" s="35">
        <f t="shared" si="32"/>
        <v>0</v>
      </c>
      <c r="I151" s="34">
        <f t="shared" si="33"/>
        <v>4860343</v>
      </c>
      <c r="J151" s="146">
        <f t="shared" si="34"/>
        <v>4860343</v>
      </c>
      <c r="K151" s="146">
        <f t="shared" si="35"/>
        <v>0</v>
      </c>
      <c r="L151" s="287">
        <v>4860343</v>
      </c>
      <c r="M151" s="308">
        <f t="shared" si="36"/>
        <v>0</v>
      </c>
    </row>
    <row r="152" spans="1:13">
      <c r="A152" s="137">
        <v>34</v>
      </c>
      <c r="C152" s="37" t="s">
        <v>537</v>
      </c>
      <c r="D152" s="81" t="s">
        <v>180</v>
      </c>
      <c r="E152" s="32"/>
      <c r="F152" s="262">
        <f>[4]SCH_D2.24!$W$51</f>
        <v>2311379</v>
      </c>
      <c r="G152" s="35">
        <f t="shared" si="31"/>
        <v>0</v>
      </c>
      <c r="H152" s="35">
        <f t="shared" si="32"/>
        <v>324</v>
      </c>
      <c r="I152" s="34">
        <f t="shared" si="33"/>
        <v>2311055</v>
      </c>
      <c r="J152" s="146">
        <f t="shared" si="34"/>
        <v>2311379</v>
      </c>
      <c r="K152" s="146">
        <f t="shared" si="35"/>
        <v>0</v>
      </c>
      <c r="L152" s="287">
        <v>2311379</v>
      </c>
      <c r="M152" s="308">
        <f t="shared" si="36"/>
        <v>0</v>
      </c>
    </row>
    <row r="153" spans="1:13">
      <c r="A153" s="137">
        <v>35</v>
      </c>
      <c r="C153" s="223" t="s">
        <v>536</v>
      </c>
      <c r="D153" s="81" t="s">
        <v>180</v>
      </c>
      <c r="E153" s="32"/>
      <c r="F153" s="262">
        <f>'[4]SCH B-3'!$K$452</f>
        <v>534286</v>
      </c>
      <c r="G153" s="35">
        <f t="shared" si="31"/>
        <v>0</v>
      </c>
      <c r="H153" s="35">
        <f t="shared" si="32"/>
        <v>75</v>
      </c>
      <c r="I153" s="34">
        <f t="shared" si="33"/>
        <v>534211</v>
      </c>
      <c r="J153" s="146">
        <f t="shared" si="34"/>
        <v>534286</v>
      </c>
      <c r="K153" s="146">
        <f t="shared" si="35"/>
        <v>0</v>
      </c>
      <c r="L153" s="287">
        <v>534286</v>
      </c>
      <c r="M153" s="308">
        <f t="shared" si="36"/>
        <v>0</v>
      </c>
    </row>
    <row r="154" spans="1:13">
      <c r="A154" s="137">
        <v>36</v>
      </c>
      <c r="C154" s="217" t="s">
        <v>567</v>
      </c>
      <c r="D154" s="81" t="s">
        <v>178</v>
      </c>
      <c r="E154" s="32"/>
      <c r="F154" s="262">
        <f>'[4]SCH B-3'!$K$453</f>
        <v>-6653083</v>
      </c>
      <c r="G154" s="35">
        <f t="shared" si="31"/>
        <v>0</v>
      </c>
      <c r="H154" s="35">
        <f t="shared" si="32"/>
        <v>0</v>
      </c>
      <c r="I154" s="34">
        <f t="shared" si="33"/>
        <v>-6653083</v>
      </c>
      <c r="J154" s="146">
        <f t="shared" si="34"/>
        <v>-6653083</v>
      </c>
      <c r="K154" s="146">
        <f t="shared" si="35"/>
        <v>0</v>
      </c>
      <c r="L154" s="287">
        <v>-6653083</v>
      </c>
      <c r="M154" s="308">
        <f t="shared" si="36"/>
        <v>0</v>
      </c>
    </row>
    <row r="155" spans="1:13">
      <c r="A155" s="137">
        <v>37</v>
      </c>
      <c r="C155" s="3" t="s">
        <v>566</v>
      </c>
      <c r="D155" s="81"/>
      <c r="E155" s="32"/>
      <c r="F155" s="260">
        <f>SUM(F133:F154)</f>
        <v>156222446</v>
      </c>
      <c r="G155" s="151">
        <f>SUM(G133:G153)</f>
        <v>0</v>
      </c>
      <c r="H155" s="151">
        <f>SUM(H133:H153)</f>
        <v>2644</v>
      </c>
      <c r="I155" s="150">
        <f>SUM(I133:I153)</f>
        <v>162872885</v>
      </c>
      <c r="J155" s="5">
        <f>SUM(J133:J153)</f>
        <v>162875529</v>
      </c>
      <c r="K155" s="5">
        <f>SUM(K133:K153)</f>
        <v>0</v>
      </c>
      <c r="L155" s="307">
        <v>156222446</v>
      </c>
      <c r="M155" s="308">
        <f t="shared" si="36"/>
        <v>0</v>
      </c>
    </row>
    <row r="156" spans="1:13">
      <c r="A156" s="137">
        <v>38</v>
      </c>
      <c r="D156" s="81"/>
      <c r="E156" s="32"/>
      <c r="F156" s="258"/>
      <c r="G156" s="40"/>
      <c r="H156" s="40"/>
      <c r="I156" s="39"/>
      <c r="M156" s="308">
        <f t="shared" si="36"/>
        <v>0</v>
      </c>
    </row>
    <row r="157" spans="1:13">
      <c r="A157" s="137">
        <v>39</v>
      </c>
      <c r="C157" s="3" t="s">
        <v>565</v>
      </c>
      <c r="D157" s="81"/>
      <c r="E157" s="32"/>
      <c r="F157" s="266">
        <f>F155+F129</f>
        <v>175585347</v>
      </c>
      <c r="G157" s="35">
        <f>G155+G129</f>
        <v>0</v>
      </c>
      <c r="H157" s="35">
        <f>H155+H129</f>
        <v>19365545</v>
      </c>
      <c r="I157" s="34">
        <f>I155+I129</f>
        <v>162872885</v>
      </c>
      <c r="J157" s="146">
        <f>J155+J129</f>
        <v>182238430</v>
      </c>
      <c r="K157" s="146">
        <f>F157-J157</f>
        <v>-6653083</v>
      </c>
      <c r="L157" s="296">
        <v>175585347</v>
      </c>
      <c r="M157" s="308">
        <f t="shared" si="36"/>
        <v>0</v>
      </c>
    </row>
    <row r="158" spans="1:13">
      <c r="A158" s="137">
        <v>40</v>
      </c>
      <c r="C158" s="3" t="s">
        <v>564</v>
      </c>
      <c r="D158" s="81"/>
      <c r="E158" s="32"/>
      <c r="F158" s="266">
        <f>F131+F155</f>
        <v>802213323</v>
      </c>
      <c r="G158" s="35">
        <f>G131+G155</f>
        <v>626627976</v>
      </c>
      <c r="H158" s="35">
        <f>H131+H155</f>
        <v>19365545</v>
      </c>
      <c r="I158" s="34">
        <f>I131+I155</f>
        <v>162872885</v>
      </c>
      <c r="J158" s="146">
        <f>J131+J155</f>
        <v>808866406</v>
      </c>
      <c r="K158" s="146">
        <f>F158-J158</f>
        <v>-6653083</v>
      </c>
      <c r="L158" s="296">
        <v>802213323</v>
      </c>
      <c r="M158" s="308">
        <f t="shared" si="36"/>
        <v>0</v>
      </c>
    </row>
    <row r="159" spans="1:13">
      <c r="A159" s="137">
        <v>41</v>
      </c>
      <c r="D159" s="81"/>
      <c r="E159" s="32"/>
      <c r="F159" s="258"/>
      <c r="G159" s="40"/>
      <c r="H159" s="40"/>
      <c r="I159" s="39"/>
      <c r="M159" s="308">
        <f t="shared" si="36"/>
        <v>0</v>
      </c>
    </row>
    <row r="160" spans="1:13">
      <c r="A160" s="137">
        <v>42</v>
      </c>
      <c r="B160" s="1" t="s">
        <v>532</v>
      </c>
      <c r="D160" s="81"/>
      <c r="E160" s="32"/>
      <c r="F160" s="258"/>
      <c r="G160" s="40"/>
      <c r="H160" s="40"/>
      <c r="I160" s="39"/>
      <c r="M160" s="308">
        <f t="shared" si="36"/>
        <v>0</v>
      </c>
    </row>
    <row r="161" spans="1:13">
      <c r="A161" s="137">
        <v>43</v>
      </c>
      <c r="C161" s="37" t="s">
        <v>529</v>
      </c>
      <c r="D161" s="81" t="s">
        <v>190</v>
      </c>
      <c r="E161" s="32"/>
      <c r="F161" s="266">
        <f>'[2]WP FR-16(7)(v) A&amp;G WP'!E12</f>
        <v>4910013</v>
      </c>
      <c r="G161" s="35">
        <f t="shared" ref="G161:G169" si="37">F161-SUM(H161:I161)</f>
        <v>4910013</v>
      </c>
      <c r="H161" s="35">
        <f t="shared" ref="H161:H166" si="38">ROUND(F161*VLOOKUP(D161,ALLOCTABLE_FUNCTIONAL,$H$10,FALSE),0)</f>
        <v>0</v>
      </c>
      <c r="I161" s="34">
        <f t="shared" ref="I161:I166" si="39">ROUND(F161*VLOOKUP(D161,ALLOCTABLE_FUNCTIONAL,$I$10,FALSE),0)</f>
        <v>0</v>
      </c>
      <c r="J161" s="146">
        <f t="shared" ref="J161:J169" si="40">SUM(G161:I161)</f>
        <v>4910013</v>
      </c>
      <c r="K161" s="146">
        <f t="shared" ref="K161:K169" si="41">F161-J161</f>
        <v>0</v>
      </c>
      <c r="L161" s="296">
        <v>4910013</v>
      </c>
      <c r="M161" s="308">
        <f t="shared" si="36"/>
        <v>0</v>
      </c>
    </row>
    <row r="162" spans="1:13">
      <c r="A162" s="137">
        <v>44</v>
      </c>
      <c r="C162" s="37" t="s">
        <v>528</v>
      </c>
      <c r="D162" s="81" t="s">
        <v>7</v>
      </c>
      <c r="E162" s="32"/>
      <c r="F162" s="266">
        <f>'[2]WP FR-16(7)(v) A&amp;G WP'!E13</f>
        <v>4302645</v>
      </c>
      <c r="G162" s="35">
        <f t="shared" si="37"/>
        <v>4302645</v>
      </c>
      <c r="H162" s="35">
        <f t="shared" si="38"/>
        <v>0</v>
      </c>
      <c r="I162" s="34">
        <f t="shared" si="39"/>
        <v>0</v>
      </c>
      <c r="J162" s="146">
        <f t="shared" si="40"/>
        <v>4302645</v>
      </c>
      <c r="K162" s="146">
        <f t="shared" si="41"/>
        <v>0</v>
      </c>
      <c r="L162" s="296">
        <v>4302645</v>
      </c>
      <c r="M162" s="308">
        <f t="shared" si="36"/>
        <v>0</v>
      </c>
    </row>
    <row r="163" spans="1:13">
      <c r="A163" s="137">
        <v>45</v>
      </c>
      <c r="C163" s="37" t="s">
        <v>370</v>
      </c>
      <c r="D163" s="81" t="s">
        <v>188</v>
      </c>
      <c r="E163" s="32"/>
      <c r="F163" s="266">
        <f>'[2]WP FR-16(7)(v) A&amp;G WP'!E14</f>
        <v>838896</v>
      </c>
      <c r="G163" s="35">
        <f t="shared" si="37"/>
        <v>0</v>
      </c>
      <c r="H163" s="35">
        <f t="shared" si="38"/>
        <v>838896</v>
      </c>
      <c r="I163" s="34">
        <f t="shared" si="39"/>
        <v>0</v>
      </c>
      <c r="J163" s="146">
        <f t="shared" si="40"/>
        <v>838896</v>
      </c>
      <c r="K163" s="146">
        <f t="shared" si="41"/>
        <v>0</v>
      </c>
      <c r="L163" s="296">
        <v>838896</v>
      </c>
      <c r="M163" s="308">
        <f t="shared" si="36"/>
        <v>0</v>
      </c>
    </row>
    <row r="164" spans="1:13">
      <c r="A164" s="137">
        <v>46</v>
      </c>
      <c r="C164" s="240" t="s">
        <v>527</v>
      </c>
      <c r="D164" s="81" t="s">
        <v>190</v>
      </c>
      <c r="E164" s="32"/>
      <c r="F164" s="266">
        <f>ROUND('[2]WP FR-16(7)(v) A&amp;G WP'!E15*NPdemand,0)</f>
        <v>2789882</v>
      </c>
      <c r="G164" s="35">
        <f t="shared" si="37"/>
        <v>2789882</v>
      </c>
      <c r="H164" s="35">
        <f t="shared" si="38"/>
        <v>0</v>
      </c>
      <c r="I164" s="34">
        <f t="shared" si="39"/>
        <v>0</v>
      </c>
      <c r="J164" s="146">
        <f t="shared" si="40"/>
        <v>2789882</v>
      </c>
      <c r="K164" s="146">
        <f t="shared" si="41"/>
        <v>0</v>
      </c>
      <c r="L164" s="296">
        <v>2789882</v>
      </c>
      <c r="M164" s="308">
        <f t="shared" si="36"/>
        <v>0</v>
      </c>
    </row>
    <row r="165" spans="1:13">
      <c r="A165" s="137">
        <v>47</v>
      </c>
      <c r="C165" s="240" t="s">
        <v>526</v>
      </c>
      <c r="D165" s="81" t="s">
        <v>165</v>
      </c>
      <c r="E165" s="32"/>
      <c r="F165" s="266">
        <f>ROUND('[2]WP FR-16(7)(v) A&amp;G WP'!E15-F164,0)</f>
        <v>929961</v>
      </c>
      <c r="G165" s="35">
        <f t="shared" si="37"/>
        <v>0</v>
      </c>
      <c r="H165" s="35">
        <f t="shared" si="38"/>
        <v>0</v>
      </c>
      <c r="I165" s="34">
        <f t="shared" si="39"/>
        <v>929961</v>
      </c>
      <c r="J165" s="146">
        <f t="shared" si="40"/>
        <v>929961</v>
      </c>
      <c r="K165" s="146">
        <f t="shared" si="41"/>
        <v>0</v>
      </c>
      <c r="L165" s="296">
        <v>929961</v>
      </c>
      <c r="M165" s="308">
        <f t="shared" si="36"/>
        <v>0</v>
      </c>
    </row>
    <row r="166" spans="1:13">
      <c r="A166" s="137">
        <v>48</v>
      </c>
      <c r="C166" s="37" t="s">
        <v>369</v>
      </c>
      <c r="D166" s="81" t="s">
        <v>49</v>
      </c>
      <c r="E166" s="32"/>
      <c r="F166" s="266">
        <f>'[2]WP FR-16(7)(v) A&amp;G WP'!E16</f>
        <v>2008309</v>
      </c>
      <c r="G166" s="35">
        <f t="shared" si="37"/>
        <v>0</v>
      </c>
      <c r="H166" s="35">
        <f t="shared" si="38"/>
        <v>3274</v>
      </c>
      <c r="I166" s="34">
        <f t="shared" si="39"/>
        <v>2005035</v>
      </c>
      <c r="J166" s="146">
        <f t="shared" si="40"/>
        <v>2008309</v>
      </c>
      <c r="K166" s="146">
        <f t="shared" si="41"/>
        <v>0</v>
      </c>
      <c r="L166" s="296">
        <v>2008309</v>
      </c>
      <c r="M166" s="308">
        <f t="shared" si="36"/>
        <v>0</v>
      </c>
    </row>
    <row r="167" spans="1:13">
      <c r="A167" s="137">
        <v>49</v>
      </c>
      <c r="C167" s="37" t="s">
        <v>368</v>
      </c>
      <c r="D167" s="81" t="s">
        <v>47</v>
      </c>
      <c r="E167" s="32"/>
      <c r="F167" s="266">
        <f>'[2]WP FR-16(7)(v) A&amp;G WP'!E17</f>
        <v>159706</v>
      </c>
      <c r="G167" s="35">
        <f t="shared" si="37"/>
        <v>0</v>
      </c>
      <c r="H167" s="35">
        <f>ROUND(F167*VLOOKUP(D167,ALLOCTABLE_FUNCTIONAL,H10,FALSE),0)</f>
        <v>0</v>
      </c>
      <c r="I167" s="34">
        <f>ROUND(F167*VLOOKUP(D167,ALLOCTABLE_FUNCTIONAL,I10,FALSE),0)</f>
        <v>159706</v>
      </c>
      <c r="J167" s="146">
        <f t="shared" si="40"/>
        <v>159706</v>
      </c>
      <c r="K167" s="146">
        <f t="shared" si="41"/>
        <v>0</v>
      </c>
      <c r="L167" s="296">
        <v>159706</v>
      </c>
      <c r="M167" s="308">
        <f t="shared" si="36"/>
        <v>0</v>
      </c>
    </row>
    <row r="168" spans="1:13">
      <c r="A168" s="137">
        <v>50</v>
      </c>
      <c r="C168" s="37" t="s">
        <v>367</v>
      </c>
      <c r="D168" s="81" t="s">
        <v>45</v>
      </c>
      <c r="E168" s="32"/>
      <c r="F168" s="266">
        <f>'[2]WP FR-16(7)(v) A&amp;G WP'!E18</f>
        <v>0</v>
      </c>
      <c r="G168" s="35">
        <f t="shared" si="37"/>
        <v>0</v>
      </c>
      <c r="H168" s="35">
        <f>ROUND(F168*VLOOKUP(D168,ALLOCTABLE_FUNCTIONAL,H10,FALSE),0)</f>
        <v>0</v>
      </c>
      <c r="I168" s="34">
        <f>ROUND(F168*VLOOKUP(D168,ALLOCTABLE_FUNCTIONAL,I10,FALSE),0)</f>
        <v>0</v>
      </c>
      <c r="J168" s="146">
        <f t="shared" si="40"/>
        <v>0</v>
      </c>
      <c r="K168" s="146">
        <f t="shared" si="41"/>
        <v>0</v>
      </c>
      <c r="L168" s="296">
        <v>0</v>
      </c>
      <c r="M168" s="308">
        <f t="shared" si="36"/>
        <v>0</v>
      </c>
    </row>
    <row r="169" spans="1:13">
      <c r="A169" s="137">
        <v>51</v>
      </c>
      <c r="C169" s="223" t="s">
        <v>525</v>
      </c>
      <c r="D169" s="81" t="s">
        <v>43</v>
      </c>
      <c r="E169" s="32"/>
      <c r="F169" s="262">
        <f>[4]SCH_D2.24!$X51</f>
        <v>-2605588</v>
      </c>
      <c r="G169" s="35">
        <f t="shared" si="37"/>
        <v>-1529897</v>
      </c>
      <c r="H169" s="35">
        <f>ROUND(F169*VLOOKUP(D169,ALLOCTABLE_FUNCTIONAL,$H$10,FALSE),0)</f>
        <v>-137705</v>
      </c>
      <c r="I169" s="34">
        <f>ROUND(F169*VLOOKUP(D169,ALLOCTABLE_FUNCTIONAL,$I$10,FALSE),0)</f>
        <v>-937986</v>
      </c>
      <c r="J169" s="146">
        <f t="shared" si="40"/>
        <v>-2605588</v>
      </c>
      <c r="K169" s="146">
        <f t="shared" si="41"/>
        <v>0</v>
      </c>
      <c r="L169" s="287">
        <v>-2605588</v>
      </c>
      <c r="M169" s="308">
        <f t="shared" si="36"/>
        <v>0</v>
      </c>
    </row>
    <row r="170" spans="1:13">
      <c r="A170" s="137">
        <v>52</v>
      </c>
      <c r="C170" s="152" t="s">
        <v>563</v>
      </c>
      <c r="D170" s="81"/>
      <c r="E170" s="32"/>
      <c r="F170" s="260">
        <f t="shared" ref="F170:K170" si="42">SUM(F160:F169)</f>
        <v>13333824</v>
      </c>
      <c r="G170" s="151">
        <f t="shared" si="42"/>
        <v>10472643</v>
      </c>
      <c r="H170" s="151">
        <f t="shared" si="42"/>
        <v>704465</v>
      </c>
      <c r="I170" s="150">
        <f t="shared" si="42"/>
        <v>2156716</v>
      </c>
      <c r="J170" s="5">
        <f t="shared" si="42"/>
        <v>13333824</v>
      </c>
      <c r="K170" s="5">
        <f t="shared" si="42"/>
        <v>0</v>
      </c>
      <c r="L170" s="307">
        <v>13333824</v>
      </c>
      <c r="M170" s="308">
        <f t="shared" si="36"/>
        <v>0</v>
      </c>
    </row>
    <row r="171" spans="1:13">
      <c r="A171" s="137">
        <v>53</v>
      </c>
      <c r="C171" s="38"/>
      <c r="D171" s="81"/>
      <c r="E171" s="32"/>
      <c r="F171" s="258"/>
      <c r="G171" s="40"/>
      <c r="H171" s="40"/>
      <c r="I171" s="39"/>
      <c r="M171" s="308">
        <f t="shared" si="36"/>
        <v>0</v>
      </c>
    </row>
    <row r="172" spans="1:13">
      <c r="A172" s="137">
        <v>54</v>
      </c>
      <c r="B172" s="1" t="s">
        <v>530</v>
      </c>
      <c r="C172" s="38"/>
      <c r="D172" s="81"/>
      <c r="E172" s="32"/>
      <c r="F172" s="258"/>
      <c r="G172" s="40"/>
      <c r="H172" s="40"/>
      <c r="I172" s="39"/>
      <c r="M172" s="308">
        <f t="shared" si="36"/>
        <v>0</v>
      </c>
    </row>
    <row r="173" spans="1:13">
      <c r="A173" s="137">
        <v>55</v>
      </c>
      <c r="C173" s="37" t="s">
        <v>529</v>
      </c>
      <c r="D173" s="81" t="s">
        <v>190</v>
      </c>
      <c r="E173" s="32"/>
      <c r="F173" s="266">
        <f>'[2]WP FR-16(7)(v) A&amp;G WP'!G12</f>
        <v>9493775.4607999995</v>
      </c>
      <c r="G173" s="35">
        <f t="shared" ref="G173:G181" si="43">F173-SUM(H173:I173)</f>
        <v>9493775.4607999995</v>
      </c>
      <c r="H173" s="35">
        <f t="shared" ref="H173:H178" si="44">ROUND(F173*VLOOKUP(D173,ALLOCTABLE_FUNCTIONAL,$H$10,FALSE),0)</f>
        <v>0</v>
      </c>
      <c r="I173" s="34">
        <f t="shared" ref="I173:I178" si="45">ROUND(F173*VLOOKUP(D173,ALLOCTABLE_FUNCTIONAL,$I$10,FALSE),0)</f>
        <v>0</v>
      </c>
      <c r="J173" s="146">
        <f t="shared" ref="J173:J181" si="46">SUM(G173:I173)</f>
        <v>9493775.4607999995</v>
      </c>
      <c r="K173" s="146">
        <f t="shared" ref="K173:K181" si="47">F173-J173</f>
        <v>0</v>
      </c>
      <c r="L173" s="296">
        <v>9493775.4607999995</v>
      </c>
      <c r="M173" s="308">
        <f t="shared" si="36"/>
        <v>0</v>
      </c>
    </row>
    <row r="174" spans="1:13">
      <c r="A174" s="137">
        <v>56</v>
      </c>
      <c r="C174" s="37" t="s">
        <v>528</v>
      </c>
      <c r="D174" s="81" t="s">
        <v>7</v>
      </c>
      <c r="E174" s="32"/>
      <c r="F174" s="266">
        <f>'[2]WP FR-16(7)(v) A&amp;G WP'!G13</f>
        <v>8319397</v>
      </c>
      <c r="G174" s="35">
        <f t="shared" si="43"/>
        <v>8319397</v>
      </c>
      <c r="H174" s="35">
        <f t="shared" si="44"/>
        <v>0</v>
      </c>
      <c r="I174" s="34">
        <f t="shared" si="45"/>
        <v>0</v>
      </c>
      <c r="J174" s="146">
        <f t="shared" si="46"/>
        <v>8319397</v>
      </c>
      <c r="K174" s="146">
        <f t="shared" si="47"/>
        <v>0</v>
      </c>
      <c r="L174" s="296">
        <v>8319397</v>
      </c>
      <c r="M174" s="308">
        <f t="shared" si="36"/>
        <v>0</v>
      </c>
    </row>
    <row r="175" spans="1:13">
      <c r="A175" s="137">
        <v>57</v>
      </c>
      <c r="C175" s="37" t="s">
        <v>370</v>
      </c>
      <c r="D175" s="81" t="s">
        <v>188</v>
      </c>
      <c r="E175" s="32"/>
      <c r="F175" s="266">
        <f>'[2]WP FR-16(7)(v) A&amp;G WP'!G14</f>
        <v>1622051</v>
      </c>
      <c r="G175" s="35">
        <f t="shared" si="43"/>
        <v>0</v>
      </c>
      <c r="H175" s="35">
        <f t="shared" si="44"/>
        <v>1622051</v>
      </c>
      <c r="I175" s="34">
        <f t="shared" si="45"/>
        <v>0</v>
      </c>
      <c r="J175" s="146">
        <f t="shared" si="46"/>
        <v>1622051</v>
      </c>
      <c r="K175" s="146">
        <f t="shared" si="47"/>
        <v>0</v>
      </c>
      <c r="L175" s="296">
        <v>1622051</v>
      </c>
      <c r="M175" s="308">
        <f t="shared" si="36"/>
        <v>0</v>
      </c>
    </row>
    <row r="176" spans="1:13">
      <c r="A176" s="137">
        <v>58</v>
      </c>
      <c r="C176" s="240" t="s">
        <v>527</v>
      </c>
      <c r="D176" s="81" t="s">
        <v>190</v>
      </c>
      <c r="E176" s="32"/>
      <c r="F176" s="266">
        <f>ROUND('[2]WP FR-16(7)(v) A&amp;G WP'!G15*NPdemand,0)</f>
        <v>5394388</v>
      </c>
      <c r="G176" s="35">
        <f t="shared" si="43"/>
        <v>5394388</v>
      </c>
      <c r="H176" s="35">
        <f t="shared" si="44"/>
        <v>0</v>
      </c>
      <c r="I176" s="34">
        <f t="shared" si="45"/>
        <v>0</v>
      </c>
      <c r="J176" s="146">
        <f t="shared" si="46"/>
        <v>5394388</v>
      </c>
      <c r="K176" s="146">
        <f t="shared" si="47"/>
        <v>0</v>
      </c>
      <c r="L176" s="296">
        <v>5394388</v>
      </c>
      <c r="M176" s="308">
        <f t="shared" si="36"/>
        <v>0</v>
      </c>
    </row>
    <row r="177" spans="1:16">
      <c r="A177" s="137">
        <v>59</v>
      </c>
      <c r="C177" s="240" t="s">
        <v>526</v>
      </c>
      <c r="D177" s="81" t="s">
        <v>165</v>
      </c>
      <c r="E177" s="32"/>
      <c r="F177" s="266">
        <f>ROUND('[2]WP FR-16(7)(v) A&amp;G WP'!G15-F176,0)</f>
        <v>1798129</v>
      </c>
      <c r="G177" s="35">
        <f t="shared" si="43"/>
        <v>0</v>
      </c>
      <c r="H177" s="35">
        <f t="shared" si="44"/>
        <v>0</v>
      </c>
      <c r="I177" s="34">
        <f t="shared" si="45"/>
        <v>1798129</v>
      </c>
      <c r="J177" s="146">
        <f t="shared" si="46"/>
        <v>1798129</v>
      </c>
      <c r="K177" s="146">
        <f t="shared" si="47"/>
        <v>0</v>
      </c>
      <c r="L177" s="296">
        <v>1798129</v>
      </c>
      <c r="M177" s="308">
        <f t="shared" si="36"/>
        <v>0</v>
      </c>
    </row>
    <row r="178" spans="1:16">
      <c r="A178" s="137">
        <v>60</v>
      </c>
      <c r="C178" s="37" t="s">
        <v>369</v>
      </c>
      <c r="D178" s="81" t="s">
        <v>49</v>
      </c>
      <c r="E178" s="32"/>
      <c r="F178" s="266">
        <f>'[2]WP FR-16(7)(v) A&amp;G WP'!G16</f>
        <v>3883173</v>
      </c>
      <c r="G178" s="35">
        <f t="shared" si="43"/>
        <v>0</v>
      </c>
      <c r="H178" s="35">
        <f t="shared" si="44"/>
        <v>6330</v>
      </c>
      <c r="I178" s="34">
        <f t="shared" si="45"/>
        <v>3876843</v>
      </c>
      <c r="J178" s="146">
        <f t="shared" si="46"/>
        <v>3883173</v>
      </c>
      <c r="K178" s="146">
        <f t="shared" si="47"/>
        <v>0</v>
      </c>
      <c r="L178" s="296">
        <v>3883173</v>
      </c>
      <c r="M178" s="308">
        <f t="shared" si="36"/>
        <v>0</v>
      </c>
    </row>
    <row r="179" spans="1:16">
      <c r="A179" s="137">
        <v>61</v>
      </c>
      <c r="C179" s="37" t="s">
        <v>368</v>
      </c>
      <c r="D179" s="81" t="s">
        <v>47</v>
      </c>
      <c r="E179" s="32"/>
      <c r="F179" s="266">
        <f>'[2]WP FR-16(7)(v) A&amp;G WP'!G17</f>
        <v>308800</v>
      </c>
      <c r="G179" s="35">
        <f t="shared" si="43"/>
        <v>0</v>
      </c>
      <c r="H179" s="35">
        <f>ROUND(F179*VLOOKUP(D179,ALLOCTABLE_FUNCTIONAL,H10,FALSE),0)</f>
        <v>0</v>
      </c>
      <c r="I179" s="34">
        <f>ROUND(F179*VLOOKUP(D179,ALLOCTABLE_FUNCTIONAL,I10,FALSE),0)</f>
        <v>308800</v>
      </c>
      <c r="J179" s="146">
        <f t="shared" si="46"/>
        <v>308800</v>
      </c>
      <c r="K179" s="146">
        <f t="shared" si="47"/>
        <v>0</v>
      </c>
      <c r="L179" s="296">
        <v>308800</v>
      </c>
      <c r="M179" s="308">
        <f t="shared" si="36"/>
        <v>0</v>
      </c>
    </row>
    <row r="180" spans="1:16">
      <c r="A180" s="137">
        <v>62</v>
      </c>
      <c r="C180" s="37" t="s">
        <v>367</v>
      </c>
      <c r="D180" s="81" t="s">
        <v>45</v>
      </c>
      <c r="E180" s="32"/>
      <c r="F180" s="266">
        <f>'[2]WP FR-16(7)(v) A&amp;G WP'!G18</f>
        <v>0</v>
      </c>
      <c r="G180" s="35">
        <f t="shared" si="43"/>
        <v>0</v>
      </c>
      <c r="H180" s="35">
        <f>ROUND(F180*VLOOKUP(D180,ALLOCTABLE_FUNCTIONAL,H10,FALSE),0)</f>
        <v>0</v>
      </c>
      <c r="I180" s="34">
        <f>ROUND(F180*VLOOKUP(D180,ALLOCTABLE_FUNCTIONAL,I10,FALSE),0)</f>
        <v>0</v>
      </c>
      <c r="J180" s="146">
        <f t="shared" si="46"/>
        <v>0</v>
      </c>
      <c r="K180" s="146">
        <f t="shared" si="47"/>
        <v>0</v>
      </c>
      <c r="L180" s="296">
        <v>0</v>
      </c>
      <c r="M180" s="308">
        <f t="shared" si="36"/>
        <v>0</v>
      </c>
    </row>
    <row r="181" spans="1:16">
      <c r="A181" s="137">
        <v>63</v>
      </c>
      <c r="C181" s="223" t="s">
        <v>525</v>
      </c>
      <c r="D181" s="81" t="s">
        <v>43</v>
      </c>
      <c r="E181" s="32"/>
      <c r="F181" s="262">
        <f>[4]SCH_D2.24!$Y$51</f>
        <v>-218467</v>
      </c>
      <c r="G181" s="35">
        <f t="shared" si="43"/>
        <v>-128275</v>
      </c>
      <c r="H181" s="35">
        <f>ROUND(F181*VLOOKUP(D181,ALLOCTABLE_FUNCTIONAL,$H$10,FALSE),0)</f>
        <v>-11546</v>
      </c>
      <c r="I181" s="34">
        <f>ROUND(F181*VLOOKUP(D181,ALLOCTABLE_FUNCTIONAL,$I$10,FALSE),0)</f>
        <v>-78646</v>
      </c>
      <c r="J181" s="146">
        <f t="shared" si="46"/>
        <v>-218467</v>
      </c>
      <c r="K181" s="146">
        <f t="shared" si="47"/>
        <v>0</v>
      </c>
      <c r="L181" s="287">
        <v>-218467</v>
      </c>
      <c r="M181" s="308">
        <f t="shared" si="36"/>
        <v>0</v>
      </c>
    </row>
    <row r="182" spans="1:16">
      <c r="A182" s="137">
        <v>64</v>
      </c>
      <c r="C182" s="152" t="s">
        <v>524</v>
      </c>
      <c r="E182" s="32"/>
      <c r="F182" s="260">
        <f>SUM(F173:F181)</f>
        <v>30601246.4608</v>
      </c>
      <c r="G182" s="151">
        <f>SUM(G172:G181)</f>
        <v>23079285.4608</v>
      </c>
      <c r="H182" s="151">
        <f>SUM(H172:H181)</f>
        <v>1616835</v>
      </c>
      <c r="I182" s="150">
        <f>SUM(I172:I181)</f>
        <v>5905126</v>
      </c>
      <c r="J182" s="5">
        <f>SUM(J172:J181)</f>
        <v>30601246.4608</v>
      </c>
      <c r="K182" s="5">
        <f>SUM(K172:K181)</f>
        <v>0</v>
      </c>
      <c r="L182" s="307">
        <v>30601246.4608</v>
      </c>
      <c r="M182" s="308">
        <f t="shared" si="36"/>
        <v>0</v>
      </c>
    </row>
    <row r="183" spans="1:16">
      <c r="A183" s="137">
        <v>65</v>
      </c>
      <c r="D183" s="12"/>
      <c r="E183" s="32"/>
      <c r="F183" s="258"/>
      <c r="G183" s="40"/>
      <c r="H183" s="40"/>
      <c r="I183" s="39"/>
      <c r="M183" s="308">
        <f t="shared" si="36"/>
        <v>0</v>
      </c>
    </row>
    <row r="184" spans="1:16">
      <c r="A184" s="137">
        <v>66</v>
      </c>
      <c r="B184" s="1" t="s">
        <v>562</v>
      </c>
      <c r="D184" s="12"/>
      <c r="E184" s="32"/>
      <c r="F184" s="259">
        <f t="shared" ref="F184:K184" si="48">F182+F170+F155+F129+F123</f>
        <v>846148393.46079993</v>
      </c>
      <c r="G184" s="148">
        <f t="shared" si="48"/>
        <v>660179904.46080005</v>
      </c>
      <c r="H184" s="148">
        <f t="shared" si="48"/>
        <v>21686845</v>
      </c>
      <c r="I184" s="147">
        <f t="shared" si="48"/>
        <v>170934727</v>
      </c>
      <c r="J184" s="146">
        <f t="shared" si="48"/>
        <v>852801476.46079993</v>
      </c>
      <c r="K184" s="146">
        <f t="shared" si="48"/>
        <v>0</v>
      </c>
      <c r="L184" s="298">
        <v>846148393.46079993</v>
      </c>
      <c r="M184" s="308">
        <f t="shared" si="36"/>
        <v>0</v>
      </c>
      <c r="N184" s="242">
        <f>ROUND(G184/F184,4)</f>
        <v>0.7802</v>
      </c>
      <c r="O184" s="242">
        <f>ROUND(H184/F184,4)</f>
        <v>2.5600000000000001E-2</v>
      </c>
      <c r="P184" s="242">
        <f>ROUND(I184/F184,4)</f>
        <v>0.20200000000000001</v>
      </c>
    </row>
    <row r="185" spans="1:16">
      <c r="B185" s="67"/>
      <c r="C185" s="32"/>
      <c r="D185" s="12"/>
      <c r="E185" s="32"/>
      <c r="F185" s="255"/>
      <c r="G185" s="27"/>
      <c r="H185" s="27"/>
      <c r="I185" s="27"/>
      <c r="J185" s="27"/>
      <c r="L185" s="253"/>
      <c r="M185" s="308">
        <f t="shared" si="36"/>
        <v>0</v>
      </c>
    </row>
    <row r="186" spans="1:16">
      <c r="A186" s="67" t="str">
        <f>co_name</f>
        <v>DUKE ENERGY KENTUCKY, INC.</v>
      </c>
      <c r="C186" s="32"/>
      <c r="D186" s="12"/>
      <c r="E186" s="32"/>
      <c r="F186" s="255"/>
      <c r="G186" s="27"/>
      <c r="H186" s="27"/>
      <c r="I186" s="27"/>
      <c r="J186" s="27" t="str">
        <f>J1</f>
        <v>FR-16(7)(v)-1</v>
      </c>
      <c r="K186" s="27"/>
      <c r="L186" s="253"/>
      <c r="M186" s="308">
        <f t="shared" si="36"/>
        <v>0</v>
      </c>
    </row>
    <row r="187" spans="1:16">
      <c r="A187" s="67" t="str">
        <f>$A$2</f>
        <v>FUNCTIONAL ELECTRIC COST OF SERVICE</v>
      </c>
      <c r="C187" s="32"/>
      <c r="D187" s="12"/>
      <c r="E187" s="32"/>
      <c r="F187" s="255"/>
      <c r="G187" s="27"/>
      <c r="H187" s="27"/>
      <c r="I187" s="27"/>
      <c r="J187" s="27" t="str">
        <f>J2</f>
        <v>WITNESS RESPONSIBLE:</v>
      </c>
      <c r="K187" s="27"/>
      <c r="L187" s="253"/>
      <c r="M187" s="308">
        <f t="shared" si="36"/>
        <v>0</v>
      </c>
    </row>
    <row r="188" spans="1:16">
      <c r="A188" s="67" t="str">
        <f>case_name</f>
        <v>CASE NO: 2017-00321</v>
      </c>
      <c r="C188" s="32"/>
      <c r="D188" s="12"/>
      <c r="E188" s="32"/>
      <c r="F188" s="255"/>
      <c r="G188" s="27"/>
      <c r="H188" s="27"/>
      <c r="I188" s="27"/>
      <c r="J188" s="27" t="str">
        <f>Witness</f>
        <v>JAMES E. ZIOLKOWSKI</v>
      </c>
      <c r="K188" s="27"/>
      <c r="L188" s="253"/>
      <c r="M188" s="308">
        <f t="shared" si="36"/>
        <v>0</v>
      </c>
    </row>
    <row r="189" spans="1:16">
      <c r="A189" s="67" t="str">
        <f>data_filing</f>
        <v>DATA: 12 MONTHS ACTUAL  &amp; 0 MONTHS ESTIMATED</v>
      </c>
      <c r="C189" s="32"/>
      <c r="D189" s="12"/>
      <c r="E189" s="32"/>
      <c r="F189" s="255"/>
      <c r="G189" s="27"/>
      <c r="H189" s="27"/>
      <c r="I189" s="27"/>
      <c r="J189" s="27" t="str">
        <f>"PAGE "&amp;Pages-14&amp;" OF "&amp;Pages</f>
        <v>PAGE 4 OF 18</v>
      </c>
      <c r="K189" s="27"/>
      <c r="L189" s="253"/>
      <c r="M189" s="308">
        <f t="shared" si="36"/>
        <v>0</v>
      </c>
    </row>
    <row r="190" spans="1:16">
      <c r="A190" s="67" t="str">
        <f>type</f>
        <v xml:space="preserve">TYPE OF FILING: "X" ORIGINAL   UPDATED    REVISED  </v>
      </c>
      <c r="C190" s="32"/>
      <c r="D190" s="12"/>
      <c r="E190" s="32"/>
      <c r="F190" s="255"/>
      <c r="G190" s="27"/>
      <c r="H190" s="27"/>
      <c r="I190" s="27"/>
      <c r="J190" s="27"/>
      <c r="K190" s="27"/>
      <c r="L190" s="253"/>
      <c r="M190" s="308">
        <f t="shared" si="36"/>
        <v>0</v>
      </c>
    </row>
    <row r="191" spans="1:16">
      <c r="A191" s="67"/>
      <c r="C191" s="32"/>
      <c r="D191" s="12"/>
      <c r="E191" s="32"/>
      <c r="F191" s="255"/>
      <c r="G191" s="27"/>
      <c r="H191" s="27"/>
      <c r="I191" s="27"/>
      <c r="J191" s="27"/>
      <c r="K191" s="27"/>
      <c r="L191" s="253"/>
      <c r="M191" s="308">
        <f t="shared" si="36"/>
        <v>0</v>
      </c>
    </row>
    <row r="192" spans="1:16">
      <c r="B192" s="67"/>
      <c r="C192" s="32"/>
      <c r="D192" s="12"/>
      <c r="E192" s="32"/>
      <c r="F192" s="255"/>
      <c r="G192" s="27"/>
      <c r="H192" s="27"/>
      <c r="I192" s="27"/>
      <c r="J192" s="27"/>
      <c r="L192" s="253"/>
      <c r="M192" s="308">
        <f t="shared" si="36"/>
        <v>0</v>
      </c>
    </row>
    <row r="193" spans="1:15">
      <c r="A193" s="8" t="s">
        <v>91</v>
      </c>
      <c r="B193" s="27"/>
      <c r="C193" s="32"/>
      <c r="D193" s="12"/>
      <c r="E193" s="32"/>
      <c r="F193" s="256" t="s">
        <v>1</v>
      </c>
      <c r="G193" s="65" t="s">
        <v>90</v>
      </c>
      <c r="H193" s="65"/>
      <c r="I193" s="64"/>
      <c r="J193" s="8" t="s">
        <v>1</v>
      </c>
      <c r="K193" s="8" t="s">
        <v>89</v>
      </c>
      <c r="L193" s="284" t="s">
        <v>1</v>
      </c>
      <c r="M193" s="308" t="e">
        <f t="shared" si="36"/>
        <v>#VALUE!</v>
      </c>
    </row>
    <row r="194" spans="1:15">
      <c r="A194" s="57" t="s">
        <v>88</v>
      </c>
      <c r="B194" s="145" t="str">
        <f>"NET ELECTRIC PLANT"</f>
        <v>NET ELECTRIC PLANT</v>
      </c>
      <c r="C194" s="62"/>
      <c r="D194" s="56" t="s">
        <v>85</v>
      </c>
      <c r="E194" s="62"/>
      <c r="F194" s="264" t="str">
        <f>$F$9</f>
        <v>ELECTRIC</v>
      </c>
      <c r="G194" s="59" t="str">
        <f t="shared" ref="G194:I195" si="49">G9</f>
        <v>PRODUCTION</v>
      </c>
      <c r="H194" s="59" t="str">
        <f t="shared" si="49"/>
        <v>TRANSMISSION</v>
      </c>
      <c r="I194" s="58" t="str">
        <f t="shared" si="49"/>
        <v>DISTRIBUTION</v>
      </c>
      <c r="J194" s="57" t="s">
        <v>84</v>
      </c>
      <c r="K194" s="57" t="s">
        <v>83</v>
      </c>
      <c r="L194" s="285" t="s">
        <v>82</v>
      </c>
      <c r="M194" s="308" t="e">
        <f t="shared" si="36"/>
        <v>#VALUE!</v>
      </c>
    </row>
    <row r="195" spans="1:15">
      <c r="C195" s="144" t="s">
        <v>561</v>
      </c>
      <c r="D195" s="12"/>
      <c r="E195" s="32"/>
      <c r="F195" s="258"/>
      <c r="G195" s="53">
        <f t="shared" si="49"/>
        <v>3</v>
      </c>
      <c r="H195" s="53">
        <f t="shared" si="49"/>
        <v>4</v>
      </c>
      <c r="I195" s="52">
        <f t="shared" si="49"/>
        <v>5</v>
      </c>
      <c r="M195" s="308">
        <f t="shared" si="36"/>
        <v>0</v>
      </c>
    </row>
    <row r="196" spans="1:15">
      <c r="A196" s="137">
        <v>1</v>
      </c>
      <c r="B196" s="1" t="s">
        <v>560</v>
      </c>
      <c r="D196" s="12"/>
      <c r="E196" s="32"/>
      <c r="F196" s="258"/>
      <c r="G196" s="40"/>
      <c r="H196" s="40"/>
      <c r="I196" s="39"/>
      <c r="M196" s="308">
        <f t="shared" si="36"/>
        <v>0</v>
      </c>
    </row>
    <row r="197" spans="1:15">
      <c r="A197" s="137">
        <v>2</v>
      </c>
      <c r="C197" s="37" t="s">
        <v>559</v>
      </c>
      <c r="D197" s="12"/>
      <c r="E197" s="32"/>
      <c r="F197" s="259">
        <f t="shared" ref="F197:K199" si="50">F43-F120</f>
        <v>348187800</v>
      </c>
      <c r="G197" s="35">
        <f t="shared" si="50"/>
        <v>348187800</v>
      </c>
      <c r="H197" s="35">
        <f t="shared" si="50"/>
        <v>0</v>
      </c>
      <c r="I197" s="34">
        <f t="shared" si="50"/>
        <v>0</v>
      </c>
      <c r="J197" s="146">
        <f t="shared" si="50"/>
        <v>348187800</v>
      </c>
      <c r="K197" s="146">
        <f t="shared" si="50"/>
        <v>0</v>
      </c>
      <c r="L197" s="298">
        <v>348187800</v>
      </c>
      <c r="M197" s="308">
        <f t="shared" si="36"/>
        <v>0</v>
      </c>
      <c r="N197" s="85"/>
      <c r="O197" s="85"/>
    </row>
    <row r="198" spans="1:15">
      <c r="A198" s="137">
        <v>3</v>
      </c>
      <c r="C198" s="37" t="s">
        <v>558</v>
      </c>
      <c r="D198" s="12"/>
      <c r="E198" s="32"/>
      <c r="F198" s="259">
        <f t="shared" si="50"/>
        <v>164935716</v>
      </c>
      <c r="G198" s="35">
        <f t="shared" si="50"/>
        <v>164935716</v>
      </c>
      <c r="H198" s="35">
        <f t="shared" si="50"/>
        <v>0</v>
      </c>
      <c r="I198" s="34">
        <f t="shared" si="50"/>
        <v>0</v>
      </c>
      <c r="J198" s="146">
        <f t="shared" si="50"/>
        <v>164935716</v>
      </c>
      <c r="K198" s="146">
        <f t="shared" si="50"/>
        <v>0</v>
      </c>
      <c r="L198" s="298">
        <v>164935716</v>
      </c>
      <c r="M198" s="308">
        <f t="shared" si="36"/>
        <v>0</v>
      </c>
      <c r="N198" s="85"/>
      <c r="O198" s="85"/>
    </row>
    <row r="199" spans="1:15">
      <c r="A199" s="137">
        <v>4</v>
      </c>
      <c r="C199" s="217" t="s">
        <v>525</v>
      </c>
      <c r="D199" s="12"/>
      <c r="E199" s="32"/>
      <c r="F199" s="259">
        <f t="shared" si="50"/>
        <v>-5973380</v>
      </c>
      <c r="G199" s="35">
        <f t="shared" si="50"/>
        <v>-5973380</v>
      </c>
      <c r="H199" s="35">
        <f t="shared" si="50"/>
        <v>0</v>
      </c>
      <c r="I199" s="34">
        <f t="shared" si="50"/>
        <v>0</v>
      </c>
      <c r="J199" s="146">
        <f t="shared" si="50"/>
        <v>-5973380</v>
      </c>
      <c r="K199" s="146">
        <f t="shared" si="50"/>
        <v>0</v>
      </c>
      <c r="L199" s="298">
        <v>-5973380</v>
      </c>
      <c r="M199" s="308">
        <f t="shared" si="36"/>
        <v>0</v>
      </c>
      <c r="N199" s="85"/>
      <c r="O199" s="85"/>
    </row>
    <row r="200" spans="1:15">
      <c r="A200" s="137">
        <v>5</v>
      </c>
      <c r="C200" s="3" t="s">
        <v>557</v>
      </c>
      <c r="D200" s="12"/>
      <c r="E200" s="32"/>
      <c r="F200" s="260">
        <f t="shared" ref="F200:K200" si="51">SUM(F197:F199)</f>
        <v>507150136</v>
      </c>
      <c r="G200" s="151">
        <f t="shared" si="51"/>
        <v>507150136</v>
      </c>
      <c r="H200" s="151">
        <f t="shared" si="51"/>
        <v>0</v>
      </c>
      <c r="I200" s="150">
        <f t="shared" si="51"/>
        <v>0</v>
      </c>
      <c r="J200" s="5">
        <f t="shared" si="51"/>
        <v>507150136</v>
      </c>
      <c r="K200" s="5">
        <f t="shared" si="51"/>
        <v>0</v>
      </c>
      <c r="L200" s="307">
        <v>507150136</v>
      </c>
      <c r="M200" s="308">
        <f t="shared" si="36"/>
        <v>0</v>
      </c>
      <c r="N200" s="85"/>
      <c r="O200" s="85"/>
    </row>
    <row r="201" spans="1:15">
      <c r="A201" s="137">
        <v>6</v>
      </c>
      <c r="D201" s="12"/>
      <c r="E201" s="32"/>
      <c r="F201" s="258"/>
      <c r="G201" s="40"/>
      <c r="H201" s="40"/>
      <c r="I201" s="39"/>
      <c r="M201" s="308">
        <f t="shared" si="36"/>
        <v>0</v>
      </c>
      <c r="N201" s="85"/>
      <c r="O201" s="85"/>
    </row>
    <row r="202" spans="1:15">
      <c r="A202" s="137">
        <v>7</v>
      </c>
      <c r="B202" s="241" t="s">
        <v>556</v>
      </c>
      <c r="C202" s="38"/>
      <c r="D202" s="12"/>
      <c r="E202" s="32"/>
      <c r="F202" s="259"/>
      <c r="G202" s="35"/>
      <c r="H202" s="35"/>
      <c r="I202" s="34"/>
      <c r="J202" s="146"/>
      <c r="L202" s="298"/>
      <c r="M202" s="308">
        <f t="shared" si="36"/>
        <v>0</v>
      </c>
      <c r="N202" s="85"/>
      <c r="O202" s="85"/>
    </row>
    <row r="203" spans="1:15">
      <c r="A203" s="137">
        <v>8</v>
      </c>
      <c r="C203" s="37" t="s">
        <v>555</v>
      </c>
      <c r="D203" s="12"/>
      <c r="E203" s="32"/>
      <c r="F203" s="259">
        <f t="shared" ref="F203:K205" si="52">F49-F126</f>
        <v>0</v>
      </c>
      <c r="G203" s="35">
        <f t="shared" si="52"/>
        <v>0</v>
      </c>
      <c r="H203" s="35">
        <f t="shared" si="52"/>
        <v>0</v>
      </c>
      <c r="I203" s="34">
        <f t="shared" si="52"/>
        <v>0</v>
      </c>
      <c r="J203" s="146">
        <f t="shared" si="52"/>
        <v>0</v>
      </c>
      <c r="K203" s="146">
        <f t="shared" si="52"/>
        <v>0</v>
      </c>
      <c r="L203" s="298">
        <v>0</v>
      </c>
      <c r="M203" s="308">
        <f t="shared" si="36"/>
        <v>0</v>
      </c>
      <c r="N203" s="85"/>
      <c r="O203" s="85"/>
    </row>
    <row r="204" spans="1:15">
      <c r="A204" s="137">
        <v>9</v>
      </c>
      <c r="C204" s="37" t="s">
        <v>415</v>
      </c>
      <c r="D204" s="12"/>
      <c r="E204" s="32"/>
      <c r="F204" s="259">
        <f t="shared" si="52"/>
        <v>46862064</v>
      </c>
      <c r="G204" s="35">
        <f t="shared" si="52"/>
        <v>0</v>
      </c>
      <c r="H204" s="35">
        <f t="shared" si="52"/>
        <v>46862064</v>
      </c>
      <c r="I204" s="34">
        <f t="shared" si="52"/>
        <v>0</v>
      </c>
      <c r="J204" s="146">
        <f t="shared" si="52"/>
        <v>46862064</v>
      </c>
      <c r="K204" s="146">
        <f t="shared" si="52"/>
        <v>0</v>
      </c>
      <c r="L204" s="298">
        <v>46862064</v>
      </c>
      <c r="M204" s="308">
        <f t="shared" ref="M204:M267" si="53">L204-F204</f>
        <v>0</v>
      </c>
      <c r="N204" s="85"/>
      <c r="O204" s="85"/>
    </row>
    <row r="205" spans="1:15">
      <c r="A205" s="137">
        <v>10</v>
      </c>
      <c r="C205" s="37" t="s">
        <v>525</v>
      </c>
      <c r="D205" s="12"/>
      <c r="E205" s="32"/>
      <c r="F205" s="259">
        <f t="shared" si="52"/>
        <v>-475730</v>
      </c>
      <c r="G205" s="35">
        <f t="shared" si="52"/>
        <v>0</v>
      </c>
      <c r="H205" s="35">
        <f t="shared" si="52"/>
        <v>-475730</v>
      </c>
      <c r="I205" s="34">
        <f t="shared" si="52"/>
        <v>0</v>
      </c>
      <c r="J205" s="146">
        <f t="shared" si="52"/>
        <v>-475730</v>
      </c>
      <c r="K205" s="146">
        <f t="shared" si="52"/>
        <v>0</v>
      </c>
      <c r="L205" s="298">
        <v>-475730</v>
      </c>
      <c r="M205" s="308">
        <f t="shared" si="53"/>
        <v>0</v>
      </c>
      <c r="N205" s="85"/>
      <c r="O205" s="85"/>
    </row>
    <row r="206" spans="1:15">
      <c r="A206" s="137">
        <v>11</v>
      </c>
      <c r="C206" s="152" t="s">
        <v>554</v>
      </c>
      <c r="D206" s="12"/>
      <c r="E206" s="32"/>
      <c r="F206" s="260">
        <f t="shared" ref="F206:K206" si="54">SUM(F202:F205)</f>
        <v>46386334</v>
      </c>
      <c r="G206" s="151">
        <f t="shared" si="54"/>
        <v>0</v>
      </c>
      <c r="H206" s="151">
        <f t="shared" si="54"/>
        <v>46386334</v>
      </c>
      <c r="I206" s="150">
        <f t="shared" si="54"/>
        <v>0</v>
      </c>
      <c r="J206" s="5">
        <f t="shared" si="54"/>
        <v>46386334</v>
      </c>
      <c r="K206" s="5">
        <f t="shared" si="54"/>
        <v>0</v>
      </c>
      <c r="L206" s="307">
        <v>46386334</v>
      </c>
      <c r="M206" s="308">
        <f t="shared" si="53"/>
        <v>0</v>
      </c>
      <c r="N206" s="85"/>
      <c r="O206" s="85"/>
    </row>
    <row r="207" spans="1:15">
      <c r="A207" s="137">
        <v>12</v>
      </c>
      <c r="D207" s="12"/>
      <c r="E207" s="32"/>
      <c r="F207" s="258"/>
      <c r="G207" s="40"/>
      <c r="H207" s="40"/>
      <c r="I207" s="39"/>
      <c r="M207" s="308">
        <f t="shared" si="53"/>
        <v>0</v>
      </c>
      <c r="N207" s="85"/>
      <c r="O207" s="85"/>
    </row>
    <row r="208" spans="1:15">
      <c r="A208" s="137">
        <v>13</v>
      </c>
      <c r="B208" s="1" t="s">
        <v>553</v>
      </c>
      <c r="D208" s="12"/>
      <c r="E208" s="32"/>
      <c r="F208" s="259">
        <f t="shared" ref="F208:K208" si="55">F54-F131</f>
        <v>553536470</v>
      </c>
      <c r="G208" s="35">
        <f t="shared" si="55"/>
        <v>507150136</v>
      </c>
      <c r="H208" s="35">
        <f t="shared" si="55"/>
        <v>46386334</v>
      </c>
      <c r="I208" s="34">
        <f t="shared" si="55"/>
        <v>0</v>
      </c>
      <c r="J208" s="146">
        <f t="shared" si="55"/>
        <v>553536470</v>
      </c>
      <c r="K208" s="146">
        <f t="shared" si="55"/>
        <v>0</v>
      </c>
      <c r="L208" s="298">
        <v>553536470</v>
      </c>
      <c r="M208" s="308">
        <f t="shared" si="53"/>
        <v>0</v>
      </c>
      <c r="N208" s="85"/>
      <c r="O208" s="85"/>
    </row>
    <row r="209" spans="1:15">
      <c r="A209" s="137">
        <v>14</v>
      </c>
      <c r="D209" s="12"/>
      <c r="E209" s="32"/>
      <c r="F209" s="259"/>
      <c r="G209" s="35"/>
      <c r="H209" s="35"/>
      <c r="I209" s="34"/>
      <c r="J209" s="146"/>
      <c r="K209" s="146"/>
      <c r="L209" s="298"/>
      <c r="M209" s="308">
        <f t="shared" si="53"/>
        <v>0</v>
      </c>
      <c r="N209" s="85"/>
      <c r="O209" s="85"/>
    </row>
    <row r="210" spans="1:15">
      <c r="A210" s="137">
        <v>15</v>
      </c>
      <c r="B210" s="1" t="s">
        <v>552</v>
      </c>
      <c r="D210" s="12"/>
      <c r="E210" s="32"/>
      <c r="F210" s="258"/>
      <c r="G210" s="40"/>
      <c r="H210" s="40"/>
      <c r="I210" s="39"/>
      <c r="M210" s="308">
        <f t="shared" si="53"/>
        <v>0</v>
      </c>
      <c r="N210" s="85"/>
      <c r="O210" s="85"/>
    </row>
    <row r="211" spans="1:15">
      <c r="A211" s="137">
        <v>16</v>
      </c>
      <c r="C211" s="37" t="s">
        <v>407</v>
      </c>
      <c r="D211" s="229" t="s">
        <v>190</v>
      </c>
      <c r="E211" s="32"/>
      <c r="F211" s="259">
        <f t="shared" ref="F211:K220" si="56">F57-F134</f>
        <v>48448061</v>
      </c>
      <c r="G211" s="35">
        <f t="shared" si="56"/>
        <v>0</v>
      </c>
      <c r="H211" s="35">
        <f t="shared" si="56"/>
        <v>0</v>
      </c>
      <c r="I211" s="34">
        <f t="shared" si="56"/>
        <v>48448061</v>
      </c>
      <c r="J211" s="146">
        <f t="shared" si="56"/>
        <v>48448061</v>
      </c>
      <c r="K211" s="146">
        <f t="shared" si="56"/>
        <v>0</v>
      </c>
      <c r="L211" s="298">
        <v>48448061</v>
      </c>
      <c r="M211" s="308">
        <f t="shared" si="53"/>
        <v>0</v>
      </c>
      <c r="N211" s="85"/>
      <c r="O211" s="85"/>
    </row>
    <row r="212" spans="1:15">
      <c r="A212" s="137">
        <v>17</v>
      </c>
      <c r="C212" s="230" t="s">
        <v>551</v>
      </c>
      <c r="D212" s="229" t="s">
        <v>184</v>
      </c>
      <c r="E212" s="32"/>
      <c r="F212" s="259">
        <f t="shared" si="56"/>
        <v>15071466</v>
      </c>
      <c r="G212" s="35">
        <f t="shared" si="56"/>
        <v>0</v>
      </c>
      <c r="H212" s="35">
        <f t="shared" si="56"/>
        <v>0</v>
      </c>
      <c r="I212" s="34">
        <f t="shared" si="56"/>
        <v>15071466</v>
      </c>
      <c r="J212" s="146">
        <f t="shared" si="56"/>
        <v>15071466</v>
      </c>
      <c r="K212" s="146">
        <f t="shared" si="56"/>
        <v>0</v>
      </c>
      <c r="L212" s="298">
        <v>15071466</v>
      </c>
      <c r="M212" s="308">
        <f t="shared" si="53"/>
        <v>0</v>
      </c>
      <c r="N212" s="85"/>
      <c r="O212" s="85"/>
    </row>
    <row r="213" spans="1:15">
      <c r="A213" s="137">
        <v>18</v>
      </c>
      <c r="C213" s="230" t="s">
        <v>550</v>
      </c>
      <c r="D213" s="229" t="s">
        <v>165</v>
      </c>
      <c r="E213" s="32"/>
      <c r="F213" s="259">
        <f t="shared" si="56"/>
        <v>6936100</v>
      </c>
      <c r="G213" s="35">
        <f t="shared" si="56"/>
        <v>0</v>
      </c>
      <c r="H213" s="35">
        <f t="shared" si="56"/>
        <v>0</v>
      </c>
      <c r="I213" s="34">
        <f t="shared" si="56"/>
        <v>6936100</v>
      </c>
      <c r="J213" s="146">
        <f t="shared" si="56"/>
        <v>6936100</v>
      </c>
      <c r="K213" s="146">
        <f t="shared" si="56"/>
        <v>0</v>
      </c>
      <c r="L213" s="298">
        <v>6936100</v>
      </c>
      <c r="M213" s="308">
        <f t="shared" si="53"/>
        <v>0</v>
      </c>
      <c r="N213" s="85"/>
      <c r="O213" s="85"/>
    </row>
    <row r="214" spans="1:15">
      <c r="A214" s="137">
        <v>19</v>
      </c>
      <c r="C214" s="230" t="s">
        <v>549</v>
      </c>
      <c r="D214" s="229" t="s">
        <v>182</v>
      </c>
      <c r="E214" s="32"/>
      <c r="F214" s="259">
        <f t="shared" si="56"/>
        <v>6487722</v>
      </c>
      <c r="G214" s="35">
        <f t="shared" si="56"/>
        <v>0</v>
      </c>
      <c r="H214" s="35">
        <f t="shared" si="56"/>
        <v>0</v>
      </c>
      <c r="I214" s="34">
        <f t="shared" si="56"/>
        <v>6487722</v>
      </c>
      <c r="J214" s="146">
        <f t="shared" si="56"/>
        <v>6487722</v>
      </c>
      <c r="K214" s="146">
        <f t="shared" si="56"/>
        <v>0</v>
      </c>
      <c r="L214" s="298">
        <v>6487722</v>
      </c>
      <c r="M214" s="308">
        <f t="shared" si="53"/>
        <v>0</v>
      </c>
      <c r="N214" s="85"/>
      <c r="O214" s="85"/>
    </row>
    <row r="215" spans="1:15">
      <c r="A215" s="137">
        <v>20</v>
      </c>
      <c r="C215" s="230" t="s">
        <v>548</v>
      </c>
      <c r="D215" s="229" t="s">
        <v>165</v>
      </c>
      <c r="E215" s="32"/>
      <c r="F215" s="259">
        <f t="shared" si="56"/>
        <v>1652063</v>
      </c>
      <c r="G215" s="35">
        <f t="shared" si="56"/>
        <v>0</v>
      </c>
      <c r="H215" s="35">
        <f t="shared" si="56"/>
        <v>0</v>
      </c>
      <c r="I215" s="34">
        <f t="shared" si="56"/>
        <v>1652063</v>
      </c>
      <c r="J215" s="146">
        <f t="shared" si="56"/>
        <v>1652063</v>
      </c>
      <c r="K215" s="146">
        <f t="shared" si="56"/>
        <v>0</v>
      </c>
      <c r="L215" s="298">
        <v>1652063</v>
      </c>
      <c r="M215" s="308">
        <f t="shared" si="53"/>
        <v>0</v>
      </c>
      <c r="N215" s="85"/>
      <c r="O215" s="85"/>
    </row>
    <row r="216" spans="1:15">
      <c r="A216" s="137">
        <v>21</v>
      </c>
      <c r="C216" s="230" t="s">
        <v>547</v>
      </c>
      <c r="D216" s="229" t="s">
        <v>184</v>
      </c>
      <c r="E216" s="32"/>
      <c r="F216" s="259">
        <f t="shared" si="56"/>
        <v>42961254</v>
      </c>
      <c r="G216" s="35">
        <f t="shared" si="56"/>
        <v>0</v>
      </c>
      <c r="H216" s="35">
        <f t="shared" si="56"/>
        <v>0</v>
      </c>
      <c r="I216" s="34">
        <f t="shared" si="56"/>
        <v>42961254</v>
      </c>
      <c r="J216" s="146">
        <f t="shared" si="56"/>
        <v>42961254</v>
      </c>
      <c r="K216" s="146">
        <f t="shared" si="56"/>
        <v>0</v>
      </c>
      <c r="L216" s="298">
        <v>42961254</v>
      </c>
      <c r="M216" s="308">
        <f t="shared" si="53"/>
        <v>0</v>
      </c>
      <c r="N216" s="85"/>
      <c r="O216" s="85"/>
    </row>
    <row r="217" spans="1:15">
      <c r="A217" s="137">
        <v>22</v>
      </c>
      <c r="C217" s="230" t="s">
        <v>546</v>
      </c>
      <c r="D217" s="229" t="s">
        <v>165</v>
      </c>
      <c r="E217" s="32"/>
      <c r="F217" s="259">
        <f t="shared" si="56"/>
        <v>12524274</v>
      </c>
      <c r="G217" s="35">
        <f t="shared" si="56"/>
        <v>0</v>
      </c>
      <c r="H217" s="35">
        <f t="shared" si="56"/>
        <v>0</v>
      </c>
      <c r="I217" s="34">
        <f t="shared" si="56"/>
        <v>12524274</v>
      </c>
      <c r="J217" s="146">
        <f t="shared" si="56"/>
        <v>12524274</v>
      </c>
      <c r="K217" s="146">
        <f t="shared" si="56"/>
        <v>0</v>
      </c>
      <c r="L217" s="298">
        <v>12524274</v>
      </c>
      <c r="M217" s="308">
        <f t="shared" si="53"/>
        <v>0</v>
      </c>
      <c r="N217" s="85"/>
      <c r="O217" s="85"/>
    </row>
    <row r="218" spans="1:15">
      <c r="A218" s="137">
        <v>23</v>
      </c>
      <c r="C218" s="230" t="s">
        <v>545</v>
      </c>
      <c r="D218" s="229" t="s">
        <v>182</v>
      </c>
      <c r="E218" s="32"/>
      <c r="F218" s="259">
        <f t="shared" si="56"/>
        <v>19990561</v>
      </c>
      <c r="G218" s="35">
        <f t="shared" si="56"/>
        <v>0</v>
      </c>
      <c r="H218" s="35">
        <f t="shared" si="56"/>
        <v>0</v>
      </c>
      <c r="I218" s="34">
        <f t="shared" si="56"/>
        <v>19990561</v>
      </c>
      <c r="J218" s="146">
        <f t="shared" si="56"/>
        <v>19990561</v>
      </c>
      <c r="K218" s="146">
        <f t="shared" si="56"/>
        <v>0</v>
      </c>
      <c r="L218" s="298">
        <v>19990561</v>
      </c>
      <c r="M218" s="308">
        <f t="shared" si="53"/>
        <v>0</v>
      </c>
      <c r="N218" s="85"/>
      <c r="O218" s="85"/>
    </row>
    <row r="219" spans="1:15">
      <c r="A219" s="137">
        <v>24</v>
      </c>
      <c r="C219" s="230" t="s">
        <v>544</v>
      </c>
      <c r="D219" s="229" t="s">
        <v>165</v>
      </c>
      <c r="E219" s="32"/>
      <c r="F219" s="259">
        <f t="shared" si="56"/>
        <v>4937719</v>
      </c>
      <c r="G219" s="35">
        <f t="shared" si="56"/>
        <v>0</v>
      </c>
      <c r="H219" s="35">
        <f t="shared" si="56"/>
        <v>0</v>
      </c>
      <c r="I219" s="34">
        <f t="shared" si="56"/>
        <v>4937719</v>
      </c>
      <c r="J219" s="146">
        <f t="shared" si="56"/>
        <v>4937719</v>
      </c>
      <c r="K219" s="146">
        <f t="shared" si="56"/>
        <v>0</v>
      </c>
      <c r="L219" s="298">
        <v>4937719</v>
      </c>
      <c r="M219" s="308">
        <f t="shared" si="53"/>
        <v>0</v>
      </c>
      <c r="N219" s="85"/>
      <c r="O219" s="85"/>
    </row>
    <row r="220" spans="1:15">
      <c r="A220" s="137">
        <v>25</v>
      </c>
      <c r="C220" s="230" t="s">
        <v>543</v>
      </c>
      <c r="D220" s="229" t="s">
        <v>184</v>
      </c>
      <c r="E220" s="32"/>
      <c r="F220" s="259">
        <f t="shared" si="56"/>
        <v>35517584</v>
      </c>
      <c r="G220" s="35">
        <f t="shared" si="56"/>
        <v>0</v>
      </c>
      <c r="H220" s="35">
        <f t="shared" si="56"/>
        <v>0</v>
      </c>
      <c r="I220" s="34">
        <f t="shared" si="56"/>
        <v>35517584</v>
      </c>
      <c r="J220" s="146">
        <f t="shared" si="56"/>
        <v>35517584</v>
      </c>
      <c r="K220" s="146">
        <f t="shared" si="56"/>
        <v>0</v>
      </c>
      <c r="L220" s="298">
        <v>35517584</v>
      </c>
      <c r="M220" s="308">
        <f t="shared" si="53"/>
        <v>0</v>
      </c>
      <c r="N220" s="85"/>
      <c r="O220" s="85"/>
    </row>
    <row r="221" spans="1:15">
      <c r="A221" s="137">
        <v>26</v>
      </c>
      <c r="C221" s="230" t="s">
        <v>542</v>
      </c>
      <c r="D221" s="229" t="s">
        <v>165</v>
      </c>
      <c r="E221" s="32"/>
      <c r="F221" s="259">
        <f t="shared" ref="F221:K230" si="57">F67-F144</f>
        <v>10250382</v>
      </c>
      <c r="G221" s="35">
        <f t="shared" si="57"/>
        <v>0</v>
      </c>
      <c r="H221" s="35">
        <f t="shared" si="57"/>
        <v>0</v>
      </c>
      <c r="I221" s="34">
        <f t="shared" si="57"/>
        <v>10250382</v>
      </c>
      <c r="J221" s="146">
        <f t="shared" si="57"/>
        <v>10250382</v>
      </c>
      <c r="K221" s="146">
        <f t="shared" si="57"/>
        <v>0</v>
      </c>
      <c r="L221" s="298">
        <v>10250382</v>
      </c>
      <c r="M221" s="308">
        <f t="shared" si="53"/>
        <v>0</v>
      </c>
      <c r="N221" s="85"/>
      <c r="O221" s="85"/>
    </row>
    <row r="222" spans="1:15">
      <c r="A222" s="137">
        <v>27</v>
      </c>
      <c r="C222" s="230" t="s">
        <v>541</v>
      </c>
      <c r="D222" s="229" t="s">
        <v>182</v>
      </c>
      <c r="E222" s="32"/>
      <c r="F222" s="259">
        <f t="shared" si="57"/>
        <v>5974388</v>
      </c>
      <c r="G222" s="35">
        <f t="shared" si="57"/>
        <v>0</v>
      </c>
      <c r="H222" s="35">
        <f t="shared" si="57"/>
        <v>0</v>
      </c>
      <c r="I222" s="34">
        <f t="shared" si="57"/>
        <v>5974388</v>
      </c>
      <c r="J222" s="146">
        <f t="shared" si="57"/>
        <v>5974388</v>
      </c>
      <c r="K222" s="146">
        <f t="shared" si="57"/>
        <v>0</v>
      </c>
      <c r="L222" s="298">
        <v>5974388</v>
      </c>
      <c r="M222" s="308">
        <f t="shared" si="53"/>
        <v>0</v>
      </c>
      <c r="N222" s="85"/>
      <c r="O222" s="85"/>
    </row>
    <row r="223" spans="1:15">
      <c r="A223" s="137">
        <v>28</v>
      </c>
      <c r="C223" s="230" t="s">
        <v>540</v>
      </c>
      <c r="D223" s="229" t="s">
        <v>165</v>
      </c>
      <c r="E223" s="32"/>
      <c r="F223" s="259">
        <f t="shared" si="57"/>
        <v>3399774</v>
      </c>
      <c r="G223" s="35">
        <f t="shared" si="57"/>
        <v>0</v>
      </c>
      <c r="H223" s="35">
        <f t="shared" si="57"/>
        <v>0</v>
      </c>
      <c r="I223" s="34">
        <f t="shared" si="57"/>
        <v>3399774</v>
      </c>
      <c r="J223" s="146">
        <f t="shared" si="57"/>
        <v>3399774</v>
      </c>
      <c r="K223" s="146">
        <f t="shared" si="57"/>
        <v>0</v>
      </c>
      <c r="L223" s="298">
        <v>3399774</v>
      </c>
      <c r="M223" s="308">
        <f t="shared" si="53"/>
        <v>0</v>
      </c>
      <c r="N223" s="85"/>
      <c r="O223" s="85"/>
    </row>
    <row r="224" spans="1:15">
      <c r="A224" s="137">
        <v>29</v>
      </c>
      <c r="C224" s="37" t="s">
        <v>397</v>
      </c>
      <c r="D224" s="12"/>
      <c r="E224" s="32"/>
      <c r="F224" s="259">
        <f t="shared" si="57"/>
        <v>18170455</v>
      </c>
      <c r="G224" s="35">
        <f t="shared" si="57"/>
        <v>0</v>
      </c>
      <c r="H224" s="35">
        <f t="shared" si="57"/>
        <v>0</v>
      </c>
      <c r="I224" s="34">
        <f t="shared" si="57"/>
        <v>18170455</v>
      </c>
      <c r="J224" s="146">
        <f t="shared" si="57"/>
        <v>18170455</v>
      </c>
      <c r="K224" s="146">
        <f t="shared" si="57"/>
        <v>0</v>
      </c>
      <c r="L224" s="298">
        <v>18170455</v>
      </c>
      <c r="M224" s="308">
        <f t="shared" si="53"/>
        <v>0</v>
      </c>
      <c r="N224" s="85"/>
      <c r="O224" s="85"/>
    </row>
    <row r="225" spans="1:15">
      <c r="A225" s="137">
        <v>30</v>
      </c>
      <c r="C225" s="37" t="s">
        <v>396</v>
      </c>
      <c r="D225" s="12"/>
      <c r="E225" s="32"/>
      <c r="F225" s="259">
        <f t="shared" si="57"/>
        <v>8702549</v>
      </c>
      <c r="G225" s="35">
        <f t="shared" si="57"/>
        <v>0</v>
      </c>
      <c r="H225" s="35">
        <f t="shared" si="57"/>
        <v>0</v>
      </c>
      <c r="I225" s="34">
        <f t="shared" si="57"/>
        <v>8702549</v>
      </c>
      <c r="J225" s="146">
        <f t="shared" si="57"/>
        <v>8702549</v>
      </c>
      <c r="K225" s="146">
        <f t="shared" si="57"/>
        <v>0</v>
      </c>
      <c r="L225" s="298">
        <v>8702549</v>
      </c>
      <c r="M225" s="308">
        <f t="shared" si="53"/>
        <v>0</v>
      </c>
      <c r="N225" s="85"/>
      <c r="O225" s="85"/>
    </row>
    <row r="226" spans="1:15">
      <c r="A226" s="137">
        <v>31</v>
      </c>
      <c r="C226" s="37" t="s">
        <v>539</v>
      </c>
      <c r="D226" s="12"/>
      <c r="E226" s="32"/>
      <c r="F226" s="259">
        <f t="shared" si="57"/>
        <v>7233947</v>
      </c>
      <c r="G226" s="35">
        <f t="shared" si="57"/>
        <v>0</v>
      </c>
      <c r="H226" s="35">
        <f t="shared" si="57"/>
        <v>0</v>
      </c>
      <c r="I226" s="34">
        <f t="shared" si="57"/>
        <v>7233947</v>
      </c>
      <c r="J226" s="146">
        <f t="shared" si="57"/>
        <v>7233947</v>
      </c>
      <c r="K226" s="146">
        <f t="shared" si="57"/>
        <v>0</v>
      </c>
      <c r="L226" s="298">
        <v>7233947</v>
      </c>
      <c r="M226" s="308">
        <f t="shared" si="53"/>
        <v>0</v>
      </c>
      <c r="N226" s="85"/>
      <c r="O226" s="85"/>
    </row>
    <row r="227" spans="1:15">
      <c r="A227" s="137">
        <v>32</v>
      </c>
      <c r="C227" s="37" t="s">
        <v>164</v>
      </c>
      <c r="D227" s="12"/>
      <c r="E227" s="32"/>
      <c r="F227" s="259">
        <f t="shared" si="57"/>
        <v>22638956</v>
      </c>
      <c r="G227" s="35">
        <f t="shared" si="57"/>
        <v>0</v>
      </c>
      <c r="H227" s="35">
        <f t="shared" si="57"/>
        <v>57276</v>
      </c>
      <c r="I227" s="34">
        <f t="shared" si="57"/>
        <v>22581680</v>
      </c>
      <c r="J227" s="146">
        <f t="shared" si="57"/>
        <v>22638956</v>
      </c>
      <c r="K227" s="146">
        <f t="shared" si="57"/>
        <v>0</v>
      </c>
      <c r="L227" s="298">
        <v>22638956</v>
      </c>
      <c r="M227" s="308">
        <f t="shared" si="53"/>
        <v>0</v>
      </c>
      <c r="N227" s="85"/>
      <c r="O227" s="85"/>
    </row>
    <row r="228" spans="1:15">
      <c r="A228" s="137">
        <v>33</v>
      </c>
      <c r="C228" s="37" t="s">
        <v>538</v>
      </c>
      <c r="D228" s="12"/>
      <c r="E228" s="32"/>
      <c r="F228" s="259">
        <f t="shared" si="57"/>
        <v>1560590</v>
      </c>
      <c r="G228" s="35">
        <f t="shared" si="57"/>
        <v>0</v>
      </c>
      <c r="H228" s="35">
        <f t="shared" si="57"/>
        <v>0</v>
      </c>
      <c r="I228" s="34">
        <f t="shared" si="57"/>
        <v>1560590</v>
      </c>
      <c r="J228" s="146">
        <f t="shared" si="57"/>
        <v>1560590</v>
      </c>
      <c r="K228" s="146">
        <f t="shared" si="57"/>
        <v>0</v>
      </c>
      <c r="L228" s="298">
        <v>1560590</v>
      </c>
      <c r="M228" s="308">
        <f t="shared" si="53"/>
        <v>0</v>
      </c>
      <c r="N228" s="85"/>
      <c r="O228" s="85"/>
    </row>
    <row r="229" spans="1:15">
      <c r="A229" s="137">
        <v>34</v>
      </c>
      <c r="C229" s="37" t="s">
        <v>537</v>
      </c>
      <c r="D229" s="12"/>
      <c r="E229" s="32"/>
      <c r="F229" s="259">
        <f t="shared" si="57"/>
        <v>-2311379</v>
      </c>
      <c r="G229" s="35">
        <f t="shared" si="57"/>
        <v>0</v>
      </c>
      <c r="H229" s="35">
        <f t="shared" si="57"/>
        <v>-324</v>
      </c>
      <c r="I229" s="34">
        <f t="shared" si="57"/>
        <v>-2311055</v>
      </c>
      <c r="J229" s="146">
        <f t="shared" si="57"/>
        <v>-2311379</v>
      </c>
      <c r="K229" s="146">
        <f t="shared" si="57"/>
        <v>0</v>
      </c>
      <c r="L229" s="298">
        <v>-2311379</v>
      </c>
      <c r="M229" s="308">
        <f t="shared" si="53"/>
        <v>0</v>
      </c>
      <c r="N229" s="85"/>
      <c r="O229" s="85"/>
    </row>
    <row r="230" spans="1:15">
      <c r="A230" s="137">
        <v>35</v>
      </c>
      <c r="C230" s="223" t="s">
        <v>536</v>
      </c>
      <c r="D230" s="12"/>
      <c r="E230" s="32"/>
      <c r="F230" s="259">
        <f t="shared" si="57"/>
        <v>38399419</v>
      </c>
      <c r="G230" s="35">
        <f t="shared" si="57"/>
        <v>0</v>
      </c>
      <c r="H230" s="35">
        <f t="shared" si="57"/>
        <v>5376</v>
      </c>
      <c r="I230" s="34">
        <f t="shared" si="57"/>
        <v>38394043</v>
      </c>
      <c r="J230" s="146">
        <f t="shared" si="57"/>
        <v>38399419</v>
      </c>
      <c r="K230" s="146">
        <f t="shared" si="57"/>
        <v>0</v>
      </c>
      <c r="L230" s="298">
        <v>38399419</v>
      </c>
      <c r="M230" s="308">
        <f t="shared" si="53"/>
        <v>0</v>
      </c>
      <c r="N230" s="85"/>
      <c r="O230" s="85"/>
    </row>
    <row r="231" spans="1:15">
      <c r="A231" s="137">
        <v>36</v>
      </c>
      <c r="C231" s="217" t="str">
        <f>C154</f>
        <v>RWIP</v>
      </c>
      <c r="D231" s="12"/>
      <c r="E231" s="32"/>
      <c r="F231" s="259">
        <f t="shared" ref="F231:K231" si="58">F77-F154</f>
        <v>6653083</v>
      </c>
      <c r="G231" s="35">
        <f t="shared" si="58"/>
        <v>0</v>
      </c>
      <c r="H231" s="35">
        <f t="shared" si="58"/>
        <v>0</v>
      </c>
      <c r="I231" s="34">
        <f t="shared" si="58"/>
        <v>6653083</v>
      </c>
      <c r="J231" s="146">
        <f t="shared" si="58"/>
        <v>6653083</v>
      </c>
      <c r="K231" s="146">
        <f t="shared" si="58"/>
        <v>0</v>
      </c>
      <c r="L231" s="298">
        <v>6653083</v>
      </c>
      <c r="M231" s="308">
        <f t="shared" si="53"/>
        <v>0</v>
      </c>
      <c r="N231" s="85"/>
      <c r="O231" s="85"/>
    </row>
    <row r="232" spans="1:15">
      <c r="A232" s="137">
        <v>37</v>
      </c>
      <c r="C232" s="3" t="s">
        <v>535</v>
      </c>
      <c r="D232" s="12"/>
      <c r="E232" s="32"/>
      <c r="F232" s="260">
        <f>SUM(F210:F231)</f>
        <v>315198968</v>
      </c>
      <c r="G232" s="151">
        <f>SUM(G210:G230)</f>
        <v>0</v>
      </c>
      <c r="H232" s="151">
        <f>SUM(H210:H230)</f>
        <v>62328</v>
      </c>
      <c r="I232" s="150">
        <f>SUM(I210:I230)</f>
        <v>308483557</v>
      </c>
      <c r="J232" s="5">
        <f>SUM(J210:J230)</f>
        <v>308545885</v>
      </c>
      <c r="K232" s="5">
        <f>SUM(K210:K230)</f>
        <v>0</v>
      </c>
      <c r="L232" s="307">
        <v>315198968</v>
      </c>
      <c r="M232" s="308">
        <f t="shared" si="53"/>
        <v>0</v>
      </c>
      <c r="N232" s="85"/>
      <c r="O232" s="85"/>
    </row>
    <row r="233" spans="1:15">
      <c r="A233" s="137">
        <v>38</v>
      </c>
      <c r="D233" s="12"/>
      <c r="E233" s="32"/>
      <c r="F233" s="258"/>
      <c r="G233" s="40"/>
      <c r="H233" s="40"/>
      <c r="I233" s="39"/>
      <c r="M233" s="308">
        <f t="shared" si="53"/>
        <v>0</v>
      </c>
      <c r="N233" s="85"/>
      <c r="O233" s="85"/>
    </row>
    <row r="234" spans="1:15">
      <c r="A234" s="137">
        <v>39</v>
      </c>
      <c r="B234" s="1" t="s">
        <v>534</v>
      </c>
      <c r="D234" s="12"/>
      <c r="E234" s="32"/>
      <c r="F234" s="259">
        <f t="shared" ref="F234:K235" si="59">F80-F157</f>
        <v>361585302</v>
      </c>
      <c r="G234" s="35">
        <f t="shared" si="59"/>
        <v>0</v>
      </c>
      <c r="H234" s="35">
        <f t="shared" si="59"/>
        <v>46448662</v>
      </c>
      <c r="I234" s="34">
        <f t="shared" si="59"/>
        <v>308483557</v>
      </c>
      <c r="J234" s="146">
        <f t="shared" si="59"/>
        <v>354932219</v>
      </c>
      <c r="K234" s="146">
        <f t="shared" si="59"/>
        <v>6653083</v>
      </c>
      <c r="L234" s="298">
        <v>361585302</v>
      </c>
      <c r="M234" s="308">
        <f t="shared" si="53"/>
        <v>0</v>
      </c>
      <c r="N234" s="85"/>
      <c r="O234" s="85"/>
    </row>
    <row r="235" spans="1:15">
      <c r="A235" s="137">
        <v>40</v>
      </c>
      <c r="B235" s="1" t="s">
        <v>533</v>
      </c>
      <c r="D235" s="12"/>
      <c r="E235" s="32"/>
      <c r="F235" s="259">
        <f t="shared" si="59"/>
        <v>868735438</v>
      </c>
      <c r="G235" s="35">
        <f t="shared" si="59"/>
        <v>507150136</v>
      </c>
      <c r="H235" s="35">
        <f t="shared" si="59"/>
        <v>46448662</v>
      </c>
      <c r="I235" s="34">
        <f t="shared" si="59"/>
        <v>308483557</v>
      </c>
      <c r="J235" s="146">
        <f t="shared" si="59"/>
        <v>862082355</v>
      </c>
      <c r="K235" s="146">
        <f t="shared" si="59"/>
        <v>6653083</v>
      </c>
      <c r="L235" s="298">
        <v>868735438</v>
      </c>
      <c r="M235" s="308">
        <f t="shared" si="53"/>
        <v>0</v>
      </c>
      <c r="N235" s="85"/>
      <c r="O235" s="85"/>
    </row>
    <row r="236" spans="1:15">
      <c r="A236" s="137">
        <v>41</v>
      </c>
      <c r="D236" s="12"/>
      <c r="E236" s="32"/>
      <c r="F236" s="258"/>
      <c r="G236" s="40"/>
      <c r="H236" s="40"/>
      <c r="I236" s="39"/>
      <c r="M236" s="308">
        <f t="shared" si="53"/>
        <v>0</v>
      </c>
      <c r="N236" s="85"/>
      <c r="O236" s="85"/>
    </row>
    <row r="237" spans="1:15">
      <c r="A237" s="137">
        <v>42</v>
      </c>
      <c r="B237" s="1" t="s">
        <v>532</v>
      </c>
      <c r="D237" s="12"/>
      <c r="E237" s="32"/>
      <c r="F237" s="258"/>
      <c r="G237" s="40"/>
      <c r="H237" s="40"/>
      <c r="I237" s="39"/>
      <c r="M237" s="308">
        <f t="shared" si="53"/>
        <v>0</v>
      </c>
      <c r="N237" s="85"/>
      <c r="O237" s="85"/>
    </row>
    <row r="238" spans="1:15">
      <c r="A238" s="137">
        <v>43</v>
      </c>
      <c r="C238" s="37" t="s">
        <v>529</v>
      </c>
      <c r="D238" s="12"/>
      <c r="E238" s="32"/>
      <c r="F238" s="259">
        <f t="shared" ref="F238:K246" si="60">F84-F161</f>
        <v>3885863</v>
      </c>
      <c r="G238" s="35">
        <f t="shared" si="60"/>
        <v>3885863</v>
      </c>
      <c r="H238" s="35">
        <f t="shared" si="60"/>
        <v>0</v>
      </c>
      <c r="I238" s="34">
        <f t="shared" si="60"/>
        <v>0</v>
      </c>
      <c r="J238" s="146">
        <f t="shared" si="60"/>
        <v>3885863</v>
      </c>
      <c r="K238" s="146">
        <f t="shared" si="60"/>
        <v>0</v>
      </c>
      <c r="L238" s="298">
        <v>3885863</v>
      </c>
      <c r="M238" s="308">
        <f t="shared" si="53"/>
        <v>0</v>
      </c>
      <c r="N238" s="85"/>
      <c r="O238" s="85"/>
    </row>
    <row r="239" spans="1:15">
      <c r="A239" s="137">
        <v>44</v>
      </c>
      <c r="C239" s="37" t="s">
        <v>528</v>
      </c>
      <c r="D239" s="12"/>
      <c r="E239" s="32"/>
      <c r="F239" s="259">
        <f t="shared" si="60"/>
        <v>3405182</v>
      </c>
      <c r="G239" s="35">
        <f t="shared" si="60"/>
        <v>3405182</v>
      </c>
      <c r="H239" s="35">
        <f t="shared" si="60"/>
        <v>0</v>
      </c>
      <c r="I239" s="34">
        <f t="shared" si="60"/>
        <v>0</v>
      </c>
      <c r="J239" s="146">
        <f t="shared" si="60"/>
        <v>3405182</v>
      </c>
      <c r="K239" s="146">
        <f t="shared" si="60"/>
        <v>0</v>
      </c>
      <c r="L239" s="298">
        <v>3405182</v>
      </c>
      <c r="M239" s="308">
        <f t="shared" si="53"/>
        <v>0</v>
      </c>
      <c r="N239" s="85"/>
      <c r="O239" s="85"/>
    </row>
    <row r="240" spans="1:15">
      <c r="A240" s="137">
        <v>45</v>
      </c>
      <c r="C240" s="37" t="s">
        <v>370</v>
      </c>
      <c r="D240" s="12"/>
      <c r="E240" s="32"/>
      <c r="F240" s="259">
        <f t="shared" si="60"/>
        <v>663916</v>
      </c>
      <c r="G240" s="35">
        <f t="shared" si="60"/>
        <v>0</v>
      </c>
      <c r="H240" s="35">
        <f t="shared" si="60"/>
        <v>663916</v>
      </c>
      <c r="I240" s="34">
        <f t="shared" si="60"/>
        <v>0</v>
      </c>
      <c r="J240" s="146">
        <f t="shared" si="60"/>
        <v>663916</v>
      </c>
      <c r="K240" s="146">
        <f t="shared" si="60"/>
        <v>0</v>
      </c>
      <c r="L240" s="298">
        <v>663916</v>
      </c>
      <c r="M240" s="308">
        <f t="shared" si="53"/>
        <v>0</v>
      </c>
      <c r="N240" s="85"/>
      <c r="O240" s="85"/>
    </row>
    <row r="241" spans="1:15">
      <c r="A241" s="137">
        <v>46</v>
      </c>
      <c r="C241" s="240" t="s">
        <v>527</v>
      </c>
      <c r="D241" s="12"/>
      <c r="E241" s="32"/>
      <c r="F241" s="259">
        <f t="shared" si="60"/>
        <v>2207958</v>
      </c>
      <c r="G241" s="35">
        <f t="shared" si="60"/>
        <v>2207958</v>
      </c>
      <c r="H241" s="35">
        <f t="shared" si="60"/>
        <v>0</v>
      </c>
      <c r="I241" s="34">
        <f t="shared" si="60"/>
        <v>0</v>
      </c>
      <c r="J241" s="146">
        <f t="shared" si="60"/>
        <v>2207958</v>
      </c>
      <c r="K241" s="146">
        <f t="shared" si="60"/>
        <v>0</v>
      </c>
      <c r="L241" s="298">
        <v>2207958</v>
      </c>
      <c r="M241" s="308">
        <f t="shared" si="53"/>
        <v>0</v>
      </c>
      <c r="N241" s="85"/>
      <c r="O241" s="85"/>
    </row>
    <row r="242" spans="1:15">
      <c r="A242" s="137">
        <v>47</v>
      </c>
      <c r="C242" s="240" t="s">
        <v>526</v>
      </c>
      <c r="D242" s="12"/>
      <c r="E242" s="32"/>
      <c r="F242" s="259">
        <f t="shared" si="60"/>
        <v>735985</v>
      </c>
      <c r="G242" s="35">
        <f t="shared" si="60"/>
        <v>0</v>
      </c>
      <c r="H242" s="35">
        <f t="shared" si="60"/>
        <v>0</v>
      </c>
      <c r="I242" s="34">
        <f t="shared" si="60"/>
        <v>735985</v>
      </c>
      <c r="J242" s="146">
        <f t="shared" si="60"/>
        <v>735985</v>
      </c>
      <c r="K242" s="146">
        <f t="shared" si="60"/>
        <v>0</v>
      </c>
      <c r="L242" s="298">
        <v>735985</v>
      </c>
      <c r="M242" s="308">
        <f t="shared" si="53"/>
        <v>0</v>
      </c>
      <c r="N242" s="85"/>
      <c r="O242" s="85"/>
    </row>
    <row r="243" spans="1:15">
      <c r="A243" s="137">
        <v>48</v>
      </c>
      <c r="C243" s="37" t="s">
        <v>369</v>
      </c>
      <c r="D243" s="12"/>
      <c r="E243" s="32"/>
      <c r="F243" s="259">
        <f t="shared" si="60"/>
        <v>1589407</v>
      </c>
      <c r="G243" s="35">
        <f t="shared" si="60"/>
        <v>0</v>
      </c>
      <c r="H243" s="35">
        <f t="shared" si="60"/>
        <v>2590</v>
      </c>
      <c r="I243" s="34">
        <f t="shared" si="60"/>
        <v>1586817</v>
      </c>
      <c r="J243" s="146">
        <f t="shared" si="60"/>
        <v>1589407</v>
      </c>
      <c r="K243" s="146">
        <f t="shared" si="60"/>
        <v>0</v>
      </c>
      <c r="L243" s="298">
        <v>1589407</v>
      </c>
      <c r="M243" s="308">
        <f t="shared" si="53"/>
        <v>0</v>
      </c>
      <c r="N243" s="85"/>
      <c r="O243" s="85"/>
    </row>
    <row r="244" spans="1:15">
      <c r="A244" s="137">
        <v>49</v>
      </c>
      <c r="C244" s="37" t="s">
        <v>368</v>
      </c>
      <c r="D244" s="12"/>
      <c r="E244" s="32"/>
      <c r="F244" s="259">
        <f t="shared" si="60"/>
        <v>126394</v>
      </c>
      <c r="G244" s="35">
        <f t="shared" si="60"/>
        <v>0</v>
      </c>
      <c r="H244" s="35">
        <f t="shared" si="60"/>
        <v>0</v>
      </c>
      <c r="I244" s="34">
        <f t="shared" si="60"/>
        <v>126394</v>
      </c>
      <c r="J244" s="146">
        <f t="shared" si="60"/>
        <v>126394</v>
      </c>
      <c r="K244" s="146">
        <f t="shared" si="60"/>
        <v>0</v>
      </c>
      <c r="L244" s="298">
        <v>126394</v>
      </c>
      <c r="M244" s="308">
        <f t="shared" si="53"/>
        <v>0</v>
      </c>
      <c r="N244" s="85"/>
      <c r="O244" s="85"/>
    </row>
    <row r="245" spans="1:15">
      <c r="A245" s="137">
        <v>50</v>
      </c>
      <c r="C245" s="37" t="s">
        <v>367</v>
      </c>
      <c r="D245" s="12"/>
      <c r="E245" s="32"/>
      <c r="F245" s="259">
        <f t="shared" si="60"/>
        <v>0</v>
      </c>
      <c r="G245" s="35">
        <f t="shared" si="60"/>
        <v>0</v>
      </c>
      <c r="H245" s="35">
        <f t="shared" si="60"/>
        <v>0</v>
      </c>
      <c r="I245" s="34">
        <f t="shared" si="60"/>
        <v>0</v>
      </c>
      <c r="J245" s="146">
        <f t="shared" si="60"/>
        <v>0</v>
      </c>
      <c r="K245" s="146">
        <f t="shared" si="60"/>
        <v>0</v>
      </c>
      <c r="L245" s="298">
        <v>0</v>
      </c>
      <c r="M245" s="308">
        <f t="shared" si="53"/>
        <v>0</v>
      </c>
      <c r="N245" s="85"/>
      <c r="O245" s="85"/>
    </row>
    <row r="246" spans="1:15">
      <c r="A246" s="137">
        <v>51</v>
      </c>
      <c r="C246" s="217" t="s">
        <v>525</v>
      </c>
      <c r="D246" s="12"/>
      <c r="E246" s="32"/>
      <c r="F246" s="259">
        <f t="shared" si="60"/>
        <v>2605588</v>
      </c>
      <c r="G246" s="35">
        <f t="shared" si="60"/>
        <v>1529897</v>
      </c>
      <c r="H246" s="35">
        <f t="shared" si="60"/>
        <v>137705</v>
      </c>
      <c r="I246" s="34">
        <f t="shared" si="60"/>
        <v>937986</v>
      </c>
      <c r="J246" s="146">
        <f t="shared" si="60"/>
        <v>2605588</v>
      </c>
      <c r="K246" s="146">
        <f t="shared" si="60"/>
        <v>0</v>
      </c>
      <c r="L246" s="298">
        <v>2605588</v>
      </c>
      <c r="M246" s="308">
        <f t="shared" si="53"/>
        <v>0</v>
      </c>
      <c r="N246" s="85"/>
      <c r="O246" s="85"/>
    </row>
    <row r="247" spans="1:15">
      <c r="A247" s="137">
        <v>52</v>
      </c>
      <c r="C247" s="3" t="s">
        <v>531</v>
      </c>
      <c r="D247" s="12"/>
      <c r="E247" s="32"/>
      <c r="F247" s="260">
        <f t="shared" ref="F247:K247" si="61">SUM(F237:F246)</f>
        <v>15220293</v>
      </c>
      <c r="G247" s="151">
        <f t="shared" si="61"/>
        <v>11028900</v>
      </c>
      <c r="H247" s="151">
        <f t="shared" si="61"/>
        <v>804211</v>
      </c>
      <c r="I247" s="150">
        <f t="shared" si="61"/>
        <v>3387182</v>
      </c>
      <c r="J247" s="5">
        <f t="shared" si="61"/>
        <v>15220293</v>
      </c>
      <c r="K247" s="5">
        <f t="shared" si="61"/>
        <v>0</v>
      </c>
      <c r="L247" s="307">
        <v>15220293</v>
      </c>
      <c r="M247" s="308">
        <f t="shared" si="53"/>
        <v>0</v>
      </c>
      <c r="N247" s="85"/>
      <c r="O247" s="85"/>
    </row>
    <row r="248" spans="1:15">
      <c r="A248" s="137">
        <v>53</v>
      </c>
      <c r="D248" s="12"/>
      <c r="E248" s="32"/>
      <c r="F248" s="259"/>
      <c r="G248" s="35"/>
      <c r="H248" s="35"/>
      <c r="I248" s="34"/>
      <c r="J248" s="146"/>
      <c r="L248" s="298"/>
      <c r="M248" s="308">
        <f t="shared" si="53"/>
        <v>0</v>
      </c>
      <c r="N248" s="85"/>
      <c r="O248" s="85"/>
    </row>
    <row r="249" spans="1:15">
      <c r="A249" s="137">
        <v>54</v>
      </c>
      <c r="B249" s="1" t="s">
        <v>530</v>
      </c>
      <c r="D249" s="12"/>
      <c r="E249" s="32"/>
      <c r="F249" s="259"/>
      <c r="G249" s="35"/>
      <c r="H249" s="35"/>
      <c r="I249" s="34"/>
      <c r="J249" s="146"/>
      <c r="L249" s="298"/>
      <c r="M249" s="308">
        <f t="shared" si="53"/>
        <v>0</v>
      </c>
      <c r="N249" s="85"/>
      <c r="O249" s="85"/>
    </row>
    <row r="250" spans="1:15">
      <c r="A250" s="137">
        <v>55</v>
      </c>
      <c r="C250" s="37" t="s">
        <v>529</v>
      </c>
      <c r="D250" s="12"/>
      <c r="E250" s="32"/>
      <c r="F250" s="259">
        <f t="shared" ref="F250:K258" si="62">F96-F173</f>
        <v>160651.53920000046</v>
      </c>
      <c r="G250" s="35">
        <f t="shared" si="62"/>
        <v>160651.53920000046</v>
      </c>
      <c r="H250" s="35">
        <f t="shared" si="62"/>
        <v>0</v>
      </c>
      <c r="I250" s="34">
        <f t="shared" si="62"/>
        <v>0</v>
      </c>
      <c r="J250" s="146">
        <f t="shared" si="62"/>
        <v>160651.53920000046</v>
      </c>
      <c r="K250" s="146">
        <f t="shared" si="62"/>
        <v>0</v>
      </c>
      <c r="L250" s="298">
        <v>160651.53920000046</v>
      </c>
      <c r="M250" s="308">
        <f t="shared" si="53"/>
        <v>0</v>
      </c>
      <c r="N250" s="85"/>
      <c r="O250" s="85"/>
    </row>
    <row r="251" spans="1:15">
      <c r="A251" s="137">
        <v>56</v>
      </c>
      <c r="C251" s="37" t="s">
        <v>528</v>
      </c>
      <c r="D251" s="12"/>
      <c r="E251" s="32"/>
      <c r="F251" s="259">
        <f t="shared" si="62"/>
        <v>140780</v>
      </c>
      <c r="G251" s="35">
        <f t="shared" si="62"/>
        <v>140780</v>
      </c>
      <c r="H251" s="35">
        <f t="shared" si="62"/>
        <v>0</v>
      </c>
      <c r="I251" s="34">
        <f t="shared" si="62"/>
        <v>0</v>
      </c>
      <c r="J251" s="146">
        <f t="shared" si="62"/>
        <v>140780</v>
      </c>
      <c r="K251" s="146">
        <f t="shared" si="62"/>
        <v>0</v>
      </c>
      <c r="L251" s="298">
        <v>140780</v>
      </c>
      <c r="M251" s="308">
        <f t="shared" si="53"/>
        <v>0</v>
      </c>
      <c r="N251" s="85"/>
      <c r="O251" s="85"/>
    </row>
    <row r="252" spans="1:15">
      <c r="A252" s="137">
        <v>57</v>
      </c>
      <c r="C252" s="37" t="s">
        <v>370</v>
      </c>
      <c r="D252" s="12"/>
      <c r="E252" s="32"/>
      <c r="F252" s="259">
        <f t="shared" si="62"/>
        <v>27448</v>
      </c>
      <c r="G252" s="35">
        <f t="shared" si="62"/>
        <v>0</v>
      </c>
      <c r="H252" s="35">
        <f t="shared" si="62"/>
        <v>27448</v>
      </c>
      <c r="I252" s="34">
        <f t="shared" si="62"/>
        <v>0</v>
      </c>
      <c r="J252" s="146">
        <f t="shared" si="62"/>
        <v>27448</v>
      </c>
      <c r="K252" s="146">
        <f t="shared" si="62"/>
        <v>0</v>
      </c>
      <c r="L252" s="298">
        <v>27448</v>
      </c>
      <c r="M252" s="308">
        <f t="shared" si="53"/>
        <v>0</v>
      </c>
      <c r="N252" s="85"/>
      <c r="O252" s="85"/>
    </row>
    <row r="253" spans="1:15">
      <c r="A253" s="137">
        <v>58</v>
      </c>
      <c r="C253" s="240" t="s">
        <v>527</v>
      </c>
      <c r="D253" s="12"/>
      <c r="E253" s="32"/>
      <c r="F253" s="259">
        <f t="shared" si="62"/>
        <v>91283</v>
      </c>
      <c r="G253" s="35">
        <f t="shared" si="62"/>
        <v>91283</v>
      </c>
      <c r="H253" s="35">
        <f t="shared" si="62"/>
        <v>0</v>
      </c>
      <c r="I253" s="34">
        <f t="shared" si="62"/>
        <v>0</v>
      </c>
      <c r="J253" s="146">
        <f t="shared" si="62"/>
        <v>91283</v>
      </c>
      <c r="K253" s="146">
        <f t="shared" si="62"/>
        <v>0</v>
      </c>
      <c r="L253" s="298">
        <v>91283</v>
      </c>
      <c r="M253" s="308">
        <f t="shared" si="53"/>
        <v>0</v>
      </c>
      <c r="N253" s="85"/>
      <c r="O253" s="85"/>
    </row>
    <row r="254" spans="1:15">
      <c r="A254" s="137">
        <v>59</v>
      </c>
      <c r="C254" s="240" t="s">
        <v>526</v>
      </c>
      <c r="D254" s="12"/>
      <c r="E254" s="32"/>
      <c r="F254" s="259">
        <f t="shared" si="62"/>
        <v>30428</v>
      </c>
      <c r="G254" s="35">
        <f t="shared" si="62"/>
        <v>0</v>
      </c>
      <c r="H254" s="35">
        <f t="shared" si="62"/>
        <v>0</v>
      </c>
      <c r="I254" s="34">
        <f t="shared" si="62"/>
        <v>30428</v>
      </c>
      <c r="J254" s="146">
        <f t="shared" si="62"/>
        <v>30428</v>
      </c>
      <c r="K254" s="146">
        <f t="shared" si="62"/>
        <v>0</v>
      </c>
      <c r="L254" s="298">
        <v>30428</v>
      </c>
      <c r="M254" s="308">
        <f t="shared" si="53"/>
        <v>0</v>
      </c>
      <c r="N254" s="85"/>
      <c r="O254" s="85"/>
    </row>
    <row r="255" spans="1:15">
      <c r="A255" s="137">
        <v>60</v>
      </c>
      <c r="C255" s="37" t="s">
        <v>369</v>
      </c>
      <c r="D255" s="12"/>
      <c r="E255" s="32"/>
      <c r="F255" s="259">
        <f t="shared" si="62"/>
        <v>65711</v>
      </c>
      <c r="G255" s="35">
        <f t="shared" si="62"/>
        <v>0</v>
      </c>
      <c r="H255" s="35">
        <f t="shared" si="62"/>
        <v>107</v>
      </c>
      <c r="I255" s="34">
        <f t="shared" si="62"/>
        <v>65604</v>
      </c>
      <c r="J255" s="146">
        <f t="shared" si="62"/>
        <v>65711</v>
      </c>
      <c r="K255" s="146">
        <f t="shared" si="62"/>
        <v>0</v>
      </c>
      <c r="L255" s="298">
        <v>65711</v>
      </c>
      <c r="M255" s="308">
        <f t="shared" si="53"/>
        <v>0</v>
      </c>
      <c r="N255" s="85"/>
      <c r="O255" s="85"/>
    </row>
    <row r="256" spans="1:15">
      <c r="A256" s="137">
        <v>61</v>
      </c>
      <c r="C256" s="37" t="s">
        <v>368</v>
      </c>
      <c r="D256" s="12"/>
      <c r="E256" s="32"/>
      <c r="F256" s="259">
        <f t="shared" si="62"/>
        <v>5226</v>
      </c>
      <c r="G256" s="35">
        <f t="shared" si="62"/>
        <v>0</v>
      </c>
      <c r="H256" s="35">
        <f t="shared" si="62"/>
        <v>0</v>
      </c>
      <c r="I256" s="34">
        <f t="shared" si="62"/>
        <v>5226</v>
      </c>
      <c r="J256" s="146">
        <f t="shared" si="62"/>
        <v>5226</v>
      </c>
      <c r="K256" s="146">
        <f t="shared" si="62"/>
        <v>0</v>
      </c>
      <c r="L256" s="298">
        <v>5226</v>
      </c>
      <c r="M256" s="308">
        <f t="shared" si="53"/>
        <v>0</v>
      </c>
      <c r="N256" s="85"/>
      <c r="O256" s="85"/>
    </row>
    <row r="257" spans="1:16">
      <c r="A257" s="137">
        <v>62</v>
      </c>
      <c r="C257" s="37" t="s">
        <v>367</v>
      </c>
      <c r="D257" s="12"/>
      <c r="E257" s="32"/>
      <c r="F257" s="259">
        <f t="shared" si="62"/>
        <v>0</v>
      </c>
      <c r="G257" s="35">
        <f t="shared" si="62"/>
        <v>0</v>
      </c>
      <c r="H257" s="35">
        <f t="shared" si="62"/>
        <v>0</v>
      </c>
      <c r="I257" s="34">
        <f t="shared" si="62"/>
        <v>0</v>
      </c>
      <c r="J257" s="146">
        <f t="shared" si="62"/>
        <v>0</v>
      </c>
      <c r="K257" s="146">
        <f t="shared" si="62"/>
        <v>0</v>
      </c>
      <c r="L257" s="298">
        <v>0</v>
      </c>
      <c r="M257" s="308">
        <f t="shared" si="53"/>
        <v>0</v>
      </c>
      <c r="N257" s="85"/>
      <c r="O257" s="85"/>
    </row>
    <row r="258" spans="1:16">
      <c r="A258" s="137">
        <v>63</v>
      </c>
      <c r="C258" s="217" t="s">
        <v>525</v>
      </c>
      <c r="D258" s="12"/>
      <c r="E258" s="32"/>
      <c r="F258" s="259">
        <f t="shared" si="62"/>
        <v>218467</v>
      </c>
      <c r="G258" s="35">
        <f t="shared" si="62"/>
        <v>128275</v>
      </c>
      <c r="H258" s="35">
        <f t="shared" si="62"/>
        <v>11546</v>
      </c>
      <c r="I258" s="34">
        <f t="shared" si="62"/>
        <v>78646</v>
      </c>
      <c r="J258" s="146">
        <f t="shared" si="62"/>
        <v>218467</v>
      </c>
      <c r="K258" s="146">
        <f t="shared" si="62"/>
        <v>0</v>
      </c>
      <c r="L258" s="298">
        <v>218467</v>
      </c>
      <c r="M258" s="308">
        <f t="shared" si="53"/>
        <v>0</v>
      </c>
      <c r="N258" s="85"/>
      <c r="O258" s="85"/>
    </row>
    <row r="259" spans="1:16">
      <c r="A259" s="137">
        <v>64</v>
      </c>
      <c r="C259" s="3" t="s">
        <v>524</v>
      </c>
      <c r="D259" s="12"/>
      <c r="E259" s="32"/>
      <c r="F259" s="260">
        <f t="shared" ref="F259:K259" si="63">SUM(F249:F258)</f>
        <v>739994.53920000046</v>
      </c>
      <c r="G259" s="151">
        <f t="shared" si="63"/>
        <v>520989.53920000046</v>
      </c>
      <c r="H259" s="151">
        <f t="shared" si="63"/>
        <v>39101</v>
      </c>
      <c r="I259" s="150">
        <f t="shared" si="63"/>
        <v>179904</v>
      </c>
      <c r="J259" s="5">
        <f t="shared" si="63"/>
        <v>739994.53920000046</v>
      </c>
      <c r="K259" s="5">
        <f t="shared" si="63"/>
        <v>0</v>
      </c>
      <c r="L259" s="307">
        <v>739994.53920000046</v>
      </c>
      <c r="M259" s="308">
        <f t="shared" si="53"/>
        <v>0</v>
      </c>
      <c r="N259" s="85"/>
      <c r="O259" s="85"/>
    </row>
    <row r="260" spans="1:16">
      <c r="A260" s="137">
        <v>65</v>
      </c>
      <c r="D260" s="12"/>
      <c r="E260" s="32"/>
      <c r="F260" s="259"/>
      <c r="G260" s="35"/>
      <c r="H260" s="35"/>
      <c r="I260" s="34"/>
      <c r="J260" s="146"/>
      <c r="K260" s="146"/>
      <c r="L260" s="298"/>
      <c r="M260" s="308">
        <f t="shared" si="53"/>
        <v>0</v>
      </c>
      <c r="N260" s="85"/>
      <c r="O260" s="85"/>
    </row>
    <row r="261" spans="1:16">
      <c r="A261" s="137">
        <v>66</v>
      </c>
      <c r="C261" s="3" t="str">
        <f>"NET ELECTRIC PLANT IN SERVICE"</f>
        <v>NET ELECTRIC PLANT IN SERVICE</v>
      </c>
      <c r="D261" s="12"/>
      <c r="E261" s="32"/>
      <c r="F261" s="259">
        <f t="shared" ref="F261:K261" si="64">F259+F247+F232+F206+F200</f>
        <v>884695725.53920007</v>
      </c>
      <c r="G261" s="148">
        <f t="shared" si="64"/>
        <v>518700025.53920001</v>
      </c>
      <c r="H261" s="148">
        <f t="shared" si="64"/>
        <v>47291974</v>
      </c>
      <c r="I261" s="147">
        <f t="shared" si="64"/>
        <v>312050643</v>
      </c>
      <c r="J261" s="146">
        <f t="shared" si="64"/>
        <v>878042642.53920007</v>
      </c>
      <c r="K261" s="146">
        <f t="shared" si="64"/>
        <v>0</v>
      </c>
      <c r="L261" s="298">
        <v>884695725.53920007</v>
      </c>
      <c r="M261" s="308">
        <f t="shared" si="53"/>
        <v>0</v>
      </c>
      <c r="N261" s="85"/>
      <c r="O261" s="85"/>
      <c r="P261" s="3"/>
    </row>
    <row r="262" spans="1:16">
      <c r="B262" s="67"/>
      <c r="C262" s="32"/>
      <c r="D262" s="12"/>
      <c r="E262" s="32"/>
      <c r="F262" s="255"/>
      <c r="G262" s="27"/>
      <c r="H262" s="27"/>
      <c r="I262" s="27"/>
      <c r="J262" s="27"/>
      <c r="K262" s="27"/>
      <c r="L262" s="253"/>
      <c r="M262" s="308">
        <f t="shared" si="53"/>
        <v>0</v>
      </c>
    </row>
    <row r="263" spans="1:16">
      <c r="A263" s="67" t="str">
        <f>co_name</f>
        <v>DUKE ENERGY KENTUCKY, INC.</v>
      </c>
      <c r="C263" s="32"/>
      <c r="D263" s="12"/>
      <c r="E263" s="32"/>
      <c r="F263" s="255"/>
      <c r="G263" s="27"/>
      <c r="H263" s="27"/>
      <c r="I263" s="27"/>
      <c r="J263" s="27" t="str">
        <f>J1</f>
        <v>FR-16(7)(v)-1</v>
      </c>
      <c r="K263" s="27"/>
      <c r="L263" s="253"/>
      <c r="M263" s="308">
        <f t="shared" si="53"/>
        <v>0</v>
      </c>
    </row>
    <row r="264" spans="1:16">
      <c r="A264" s="67" t="str">
        <f>$A$2</f>
        <v>FUNCTIONAL ELECTRIC COST OF SERVICE</v>
      </c>
      <c r="C264" s="32"/>
      <c r="D264" s="12"/>
      <c r="E264" s="32"/>
      <c r="F264" s="255"/>
      <c r="G264" s="27"/>
      <c r="H264" s="27"/>
      <c r="I264" s="27"/>
      <c r="J264" s="27" t="str">
        <f>J2</f>
        <v>WITNESS RESPONSIBLE:</v>
      </c>
      <c r="K264" s="27"/>
      <c r="L264" s="253"/>
      <c r="M264" s="308">
        <f t="shared" si="53"/>
        <v>0</v>
      </c>
    </row>
    <row r="265" spans="1:16">
      <c r="A265" s="67" t="str">
        <f>case_name</f>
        <v>CASE NO: 2017-00321</v>
      </c>
      <c r="C265" s="32"/>
      <c r="D265" s="12"/>
      <c r="E265" s="32"/>
      <c r="F265" s="255"/>
      <c r="G265" s="27"/>
      <c r="H265" s="27"/>
      <c r="I265" s="27"/>
      <c r="J265" s="27" t="str">
        <f>Witness</f>
        <v>JAMES E. ZIOLKOWSKI</v>
      </c>
      <c r="K265" s="27"/>
      <c r="L265" s="253"/>
      <c r="M265" s="308">
        <f t="shared" si="53"/>
        <v>0</v>
      </c>
    </row>
    <row r="266" spans="1:16">
      <c r="A266" s="67" t="str">
        <f>data_filing</f>
        <v>DATA: 12 MONTHS ACTUAL  &amp; 0 MONTHS ESTIMATED</v>
      </c>
      <c r="C266" s="32"/>
      <c r="D266" s="12"/>
      <c r="E266" s="32"/>
      <c r="F266" s="255"/>
      <c r="G266" s="27"/>
      <c r="H266" s="27"/>
      <c r="I266" s="27"/>
      <c r="J266" s="27" t="str">
        <f>"PAGE "&amp;Pages-13&amp;" OF "&amp;Pages</f>
        <v>PAGE 5 OF 18</v>
      </c>
      <c r="K266" s="27"/>
      <c r="L266" s="253"/>
      <c r="M266" s="308">
        <f t="shared" si="53"/>
        <v>0</v>
      </c>
    </row>
    <row r="267" spans="1:16">
      <c r="A267" s="67" t="str">
        <f>type</f>
        <v xml:space="preserve">TYPE OF FILING: "X" ORIGINAL   UPDATED    REVISED  </v>
      </c>
      <c r="C267" s="32"/>
      <c r="D267" s="12"/>
      <c r="E267" s="32"/>
      <c r="F267" s="255"/>
      <c r="G267" s="27"/>
      <c r="H267" s="27"/>
      <c r="I267" s="27"/>
      <c r="J267" s="27"/>
      <c r="K267" s="27"/>
      <c r="L267" s="253"/>
      <c r="M267" s="308">
        <f t="shared" si="53"/>
        <v>0</v>
      </c>
    </row>
    <row r="268" spans="1:16">
      <c r="B268" s="67"/>
      <c r="C268" s="32"/>
      <c r="D268" s="12"/>
      <c r="E268" s="32"/>
      <c r="F268" s="255"/>
      <c r="G268" s="27"/>
      <c r="H268" s="27"/>
      <c r="I268" s="27"/>
      <c r="J268" s="27"/>
      <c r="K268" s="27"/>
      <c r="L268" s="253"/>
      <c r="M268" s="308">
        <f t="shared" ref="M268:M331" si="65">L268-F268</f>
        <v>0</v>
      </c>
    </row>
    <row r="269" spans="1:16">
      <c r="B269" s="67"/>
      <c r="C269" s="32"/>
      <c r="D269" s="12"/>
      <c r="E269" s="32"/>
      <c r="F269" s="255"/>
      <c r="G269" s="27"/>
      <c r="H269" s="27"/>
      <c r="I269" s="27"/>
      <c r="J269" s="27"/>
      <c r="K269" s="27"/>
      <c r="L269" s="253"/>
      <c r="M269" s="308">
        <f t="shared" si="65"/>
        <v>0</v>
      </c>
    </row>
    <row r="270" spans="1:16">
      <c r="A270" s="8" t="s">
        <v>91</v>
      </c>
      <c r="B270" s="27"/>
      <c r="C270" s="32"/>
      <c r="D270" s="12"/>
      <c r="E270" s="32"/>
      <c r="F270" s="256" t="s">
        <v>1</v>
      </c>
      <c r="G270" s="65" t="s">
        <v>90</v>
      </c>
      <c r="H270" s="65"/>
      <c r="I270" s="64"/>
      <c r="J270" s="8" t="s">
        <v>1</v>
      </c>
      <c r="K270" s="8" t="s">
        <v>89</v>
      </c>
      <c r="L270" s="284" t="s">
        <v>1</v>
      </c>
      <c r="M270" s="308" t="e">
        <f t="shared" si="65"/>
        <v>#VALUE!</v>
      </c>
    </row>
    <row r="271" spans="1:16">
      <c r="A271" s="57" t="s">
        <v>88</v>
      </c>
      <c r="B271" s="145" t="s">
        <v>523</v>
      </c>
      <c r="C271" s="62"/>
      <c r="D271" s="56" t="s">
        <v>85</v>
      </c>
      <c r="E271" s="62"/>
      <c r="F271" s="264" t="str">
        <f>$F$9</f>
        <v>ELECTRIC</v>
      </c>
      <c r="G271" s="59" t="str">
        <f t="shared" ref="G271:I272" si="66">G9</f>
        <v>PRODUCTION</v>
      </c>
      <c r="H271" s="59" t="str">
        <f t="shared" si="66"/>
        <v>TRANSMISSION</v>
      </c>
      <c r="I271" s="58" t="str">
        <f t="shared" si="66"/>
        <v>DISTRIBUTION</v>
      </c>
      <c r="J271" s="57" t="s">
        <v>84</v>
      </c>
      <c r="K271" s="57" t="s">
        <v>83</v>
      </c>
      <c r="L271" s="285" t="s">
        <v>82</v>
      </c>
      <c r="M271" s="308" t="e">
        <f t="shared" si="65"/>
        <v>#VALUE!</v>
      </c>
    </row>
    <row r="272" spans="1:16">
      <c r="C272" s="144" t="s">
        <v>522</v>
      </c>
      <c r="D272" s="12"/>
      <c r="E272" s="32"/>
      <c r="F272" s="258"/>
      <c r="G272" s="53">
        <f t="shared" si="66"/>
        <v>3</v>
      </c>
      <c r="H272" s="53">
        <f t="shared" si="66"/>
        <v>4</v>
      </c>
      <c r="I272" s="52">
        <f t="shared" si="66"/>
        <v>5</v>
      </c>
      <c r="M272" s="308">
        <f t="shared" si="65"/>
        <v>0</v>
      </c>
    </row>
    <row r="273" spans="1:13">
      <c r="A273" s="137">
        <v>1</v>
      </c>
      <c r="B273" s="1" t="s">
        <v>521</v>
      </c>
      <c r="D273" s="12"/>
      <c r="E273" s="32"/>
      <c r="F273" s="258"/>
      <c r="G273" s="40"/>
      <c r="H273" s="40"/>
      <c r="I273" s="39"/>
      <c r="M273" s="308">
        <f t="shared" si="65"/>
        <v>0</v>
      </c>
    </row>
    <row r="274" spans="1:13">
      <c r="A274" s="137">
        <v>2</v>
      </c>
      <c r="B274" s="1" t="s">
        <v>520</v>
      </c>
      <c r="D274" s="12"/>
      <c r="E274" s="32"/>
      <c r="F274" s="258"/>
      <c r="G274" s="40"/>
      <c r="H274" s="40"/>
      <c r="I274" s="39"/>
      <c r="M274" s="308">
        <f t="shared" si="65"/>
        <v>0</v>
      </c>
    </row>
    <row r="275" spans="1:13">
      <c r="A275" s="137">
        <v>3</v>
      </c>
      <c r="B275" s="1" t="s">
        <v>519</v>
      </c>
      <c r="D275" s="12"/>
      <c r="E275" s="32"/>
      <c r="F275" s="258"/>
      <c r="G275" s="40"/>
      <c r="H275" s="40"/>
      <c r="I275" s="39"/>
      <c r="M275" s="308">
        <f t="shared" si="65"/>
        <v>0</v>
      </c>
    </row>
    <row r="276" spans="1:13">
      <c r="A276" s="137">
        <v>4</v>
      </c>
      <c r="C276" s="37" t="s">
        <v>518</v>
      </c>
      <c r="D276" s="237" t="s">
        <v>2</v>
      </c>
      <c r="E276" s="3" t="s">
        <v>3</v>
      </c>
      <c r="F276" s="262">
        <f>-'[4]WPB-6''s'!$T$115</f>
        <v>133527449</v>
      </c>
      <c r="G276" s="35">
        <f t="shared" ref="G276:G284" si="67">F276-SUM(H276:I276)</f>
        <v>78287144</v>
      </c>
      <c r="H276" s="35">
        <f t="shared" ref="H276:H284" si="68">ROUND(F276*VLOOKUP(D276,ALLOCTABLE_FUNCTIONAL,$H$10,FALSE),0)</f>
        <v>7138377</v>
      </c>
      <c r="I276" s="34">
        <f t="shared" ref="I276:I284" si="69">ROUND(F276*VLOOKUP(D276,ALLOCTABLE_FUNCTIONAL,$I$10,FALSE),0)</f>
        <v>48101928</v>
      </c>
      <c r="J276" s="146">
        <f t="shared" ref="J276:J284" si="70">SUM(G276:I276)</f>
        <v>133527449</v>
      </c>
      <c r="K276" s="146">
        <f t="shared" ref="K276:K284" si="71">F276-J276</f>
        <v>0</v>
      </c>
      <c r="L276" s="287">
        <v>133527449</v>
      </c>
      <c r="M276" s="308">
        <f t="shared" si="65"/>
        <v>0</v>
      </c>
    </row>
    <row r="277" spans="1:13">
      <c r="A277" s="137">
        <v>5</v>
      </c>
      <c r="C277" s="37" t="s">
        <v>517</v>
      </c>
      <c r="D277" s="237" t="s">
        <v>2</v>
      </c>
      <c r="E277" s="3" t="s">
        <v>3</v>
      </c>
      <c r="F277" s="262">
        <v>2463205</v>
      </c>
      <c r="G277" s="35">
        <f t="shared" si="67"/>
        <v>1444177</v>
      </c>
      <c r="H277" s="35">
        <f t="shared" si="68"/>
        <v>131683</v>
      </c>
      <c r="I277" s="34">
        <f t="shared" si="69"/>
        <v>887345</v>
      </c>
      <c r="J277" s="146">
        <f t="shared" si="70"/>
        <v>2463205</v>
      </c>
      <c r="K277" s="146">
        <f t="shared" si="71"/>
        <v>0</v>
      </c>
      <c r="L277" s="287">
        <v>2463205</v>
      </c>
      <c r="M277" s="308">
        <f t="shared" si="65"/>
        <v>0</v>
      </c>
    </row>
    <row r="278" spans="1:13">
      <c r="A278" s="137">
        <v>6</v>
      </c>
      <c r="C278" s="37" t="s">
        <v>516</v>
      </c>
      <c r="D278" s="237" t="s">
        <v>117</v>
      </c>
      <c r="E278" s="3" t="s">
        <v>3</v>
      </c>
      <c r="F278" s="262">
        <v>57291571</v>
      </c>
      <c r="G278" s="35">
        <f t="shared" si="67"/>
        <v>0</v>
      </c>
      <c r="H278" s="35">
        <f t="shared" si="68"/>
        <v>11458</v>
      </c>
      <c r="I278" s="34">
        <f t="shared" si="69"/>
        <v>57280113</v>
      </c>
      <c r="J278" s="146">
        <f t="shared" si="70"/>
        <v>57291571</v>
      </c>
      <c r="K278" s="146">
        <f t="shared" si="71"/>
        <v>0</v>
      </c>
      <c r="L278" s="287">
        <v>57291571</v>
      </c>
      <c r="M278" s="308">
        <f t="shared" si="65"/>
        <v>0</v>
      </c>
    </row>
    <row r="279" spans="1:13">
      <c r="A279" s="137">
        <v>7</v>
      </c>
      <c r="C279" s="37" t="s">
        <v>515</v>
      </c>
      <c r="D279" s="237" t="s">
        <v>2</v>
      </c>
      <c r="E279" s="3" t="s">
        <v>3</v>
      </c>
      <c r="F279" s="262">
        <f>39495569-540944+72547</f>
        <v>39027172</v>
      </c>
      <c r="G279" s="35">
        <f t="shared" si="67"/>
        <v>22881631</v>
      </c>
      <c r="H279" s="35">
        <f t="shared" si="68"/>
        <v>2086393</v>
      </c>
      <c r="I279" s="34">
        <f t="shared" si="69"/>
        <v>14059148</v>
      </c>
      <c r="J279" s="146">
        <f t="shared" si="70"/>
        <v>39027172</v>
      </c>
      <c r="K279" s="146">
        <f t="shared" si="71"/>
        <v>0</v>
      </c>
      <c r="L279" s="287">
        <v>39027172</v>
      </c>
      <c r="M279" s="308">
        <f t="shared" si="65"/>
        <v>0</v>
      </c>
    </row>
    <row r="280" spans="1:13">
      <c r="A280" s="137">
        <v>8</v>
      </c>
      <c r="C280" s="37" t="s">
        <v>514</v>
      </c>
      <c r="D280" s="237" t="s">
        <v>2</v>
      </c>
      <c r="E280" s="3" t="s">
        <v>3</v>
      </c>
      <c r="F280" s="262">
        <v>489049</v>
      </c>
      <c r="G280" s="35">
        <f t="shared" si="67"/>
        <v>286729</v>
      </c>
      <c r="H280" s="35">
        <f t="shared" si="68"/>
        <v>26145</v>
      </c>
      <c r="I280" s="34">
        <f t="shared" si="69"/>
        <v>176175</v>
      </c>
      <c r="J280" s="146">
        <f t="shared" si="70"/>
        <v>489049</v>
      </c>
      <c r="K280" s="146">
        <f t="shared" si="71"/>
        <v>0</v>
      </c>
      <c r="L280" s="287">
        <v>489049</v>
      </c>
      <c r="M280" s="308">
        <f t="shared" si="65"/>
        <v>0</v>
      </c>
    </row>
    <row r="281" spans="1:13">
      <c r="A281" s="137">
        <v>9</v>
      </c>
      <c r="C281" s="37" t="s">
        <v>513</v>
      </c>
      <c r="D281" s="237" t="s">
        <v>159</v>
      </c>
      <c r="E281" s="3" t="s">
        <v>3</v>
      </c>
      <c r="F281" s="262">
        <v>-1152184</v>
      </c>
      <c r="G281" s="35">
        <f t="shared" si="67"/>
        <v>0</v>
      </c>
      <c r="H281" s="35">
        <f t="shared" si="68"/>
        <v>-7040</v>
      </c>
      <c r="I281" s="34">
        <f t="shared" si="69"/>
        <v>-1145144</v>
      </c>
      <c r="J281" s="146">
        <f t="shared" si="70"/>
        <v>-1152184</v>
      </c>
      <c r="K281" s="146">
        <f t="shared" si="71"/>
        <v>0</v>
      </c>
      <c r="L281" s="287">
        <v>-1152184</v>
      </c>
      <c r="M281" s="308">
        <f t="shared" si="65"/>
        <v>0</v>
      </c>
    </row>
    <row r="282" spans="1:13">
      <c r="A282" s="137">
        <v>10</v>
      </c>
      <c r="C282" s="37" t="s">
        <v>512</v>
      </c>
      <c r="D282" s="237" t="s">
        <v>113</v>
      </c>
      <c r="E282" s="3" t="s">
        <v>3</v>
      </c>
      <c r="F282" s="262">
        <v>-1936021</v>
      </c>
      <c r="G282" s="35">
        <f t="shared" si="67"/>
        <v>-1402880</v>
      </c>
      <c r="H282" s="35">
        <f t="shared" si="68"/>
        <v>-102299</v>
      </c>
      <c r="I282" s="34">
        <f t="shared" si="69"/>
        <v>-430842</v>
      </c>
      <c r="J282" s="146">
        <f t="shared" si="70"/>
        <v>-1936021</v>
      </c>
      <c r="K282" s="146">
        <f t="shared" si="71"/>
        <v>0</v>
      </c>
      <c r="L282" s="287">
        <v>-1936021</v>
      </c>
      <c r="M282" s="308">
        <f t="shared" si="65"/>
        <v>0</v>
      </c>
    </row>
    <row r="283" spans="1:13">
      <c r="A283" s="137">
        <v>11</v>
      </c>
      <c r="C283" s="37" t="s">
        <v>511</v>
      </c>
      <c r="D283" s="237" t="s">
        <v>2</v>
      </c>
      <c r="E283" s="3" t="s">
        <v>3</v>
      </c>
      <c r="F283" s="262"/>
      <c r="G283" s="35">
        <f t="shared" si="67"/>
        <v>0</v>
      </c>
      <c r="H283" s="35">
        <f t="shared" si="68"/>
        <v>0</v>
      </c>
      <c r="I283" s="34">
        <f t="shared" si="69"/>
        <v>0</v>
      </c>
      <c r="J283" s="146">
        <f t="shared" si="70"/>
        <v>0</v>
      </c>
      <c r="K283" s="146">
        <f t="shared" si="71"/>
        <v>0</v>
      </c>
      <c r="L283" s="287"/>
      <c r="M283" s="308">
        <f t="shared" si="65"/>
        <v>0</v>
      </c>
    </row>
    <row r="284" spans="1:13">
      <c r="A284" s="137">
        <v>12</v>
      </c>
      <c r="C284" s="239" t="s">
        <v>475</v>
      </c>
      <c r="D284" s="237" t="s">
        <v>2</v>
      </c>
      <c r="F284" s="262"/>
      <c r="G284" s="35">
        <f t="shared" si="67"/>
        <v>0</v>
      </c>
      <c r="H284" s="35">
        <f t="shared" si="68"/>
        <v>0</v>
      </c>
      <c r="I284" s="34">
        <f t="shared" si="69"/>
        <v>0</v>
      </c>
      <c r="J284" s="146">
        <f t="shared" si="70"/>
        <v>0</v>
      </c>
      <c r="K284" s="146">
        <f t="shared" si="71"/>
        <v>0</v>
      </c>
      <c r="L284" s="287"/>
      <c r="M284" s="308">
        <f t="shared" si="65"/>
        <v>0</v>
      </c>
    </row>
    <row r="285" spans="1:13">
      <c r="A285" s="137">
        <v>13</v>
      </c>
      <c r="C285" s="152" t="s">
        <v>510</v>
      </c>
      <c r="D285" s="81"/>
      <c r="F285" s="260">
        <f t="shared" ref="F285:K285" si="72">SUM(F276:F284)</f>
        <v>229710241</v>
      </c>
      <c r="G285" s="151">
        <f t="shared" si="72"/>
        <v>101496801</v>
      </c>
      <c r="H285" s="151">
        <f t="shared" si="72"/>
        <v>9284717</v>
      </c>
      <c r="I285" s="150">
        <f t="shared" si="72"/>
        <v>118928723</v>
      </c>
      <c r="J285" s="5">
        <f t="shared" si="72"/>
        <v>229710241</v>
      </c>
      <c r="K285" s="5">
        <f t="shared" si="72"/>
        <v>0</v>
      </c>
      <c r="L285" s="307">
        <v>229710241</v>
      </c>
      <c r="M285" s="308">
        <f t="shared" si="65"/>
        <v>0</v>
      </c>
    </row>
    <row r="286" spans="1:13">
      <c r="A286" s="137">
        <v>14</v>
      </c>
      <c r="D286" s="81"/>
      <c r="E286" s="32"/>
      <c r="F286" s="258"/>
      <c r="G286" s="40"/>
      <c r="H286" s="40"/>
      <c r="I286" s="39"/>
      <c r="M286" s="308">
        <f t="shared" si="65"/>
        <v>0</v>
      </c>
    </row>
    <row r="287" spans="1:13">
      <c r="A287" s="137">
        <v>15</v>
      </c>
      <c r="B287" s="3" t="s">
        <v>509</v>
      </c>
      <c r="D287" s="81"/>
      <c r="E287" s="32"/>
      <c r="F287" s="258"/>
      <c r="G287" s="40"/>
      <c r="H287" s="40"/>
      <c r="I287" s="39"/>
      <c r="M287" s="308">
        <f t="shared" si="65"/>
        <v>0</v>
      </c>
    </row>
    <row r="288" spans="1:13">
      <c r="A288" s="137">
        <v>16</v>
      </c>
      <c r="C288" s="37" t="s">
        <v>508</v>
      </c>
      <c r="D288" s="237" t="s">
        <v>2</v>
      </c>
      <c r="F288" s="262">
        <v>-6949024</v>
      </c>
      <c r="G288" s="35">
        <f t="shared" ref="G288:G298" si="73">F288-SUM(H288:I288)</f>
        <v>-4074213</v>
      </c>
      <c r="H288" s="35">
        <f t="shared" ref="H288:H298" si="74">ROUND(F288*VLOOKUP(D288,ALLOCTABLE_FUNCTIONAL,$H$10,FALSE),0)</f>
        <v>-371495</v>
      </c>
      <c r="I288" s="34">
        <f t="shared" ref="I288:I298" si="75">ROUND(F288*VLOOKUP(D288,ALLOCTABLE_FUNCTIONAL,$I$10,FALSE),0)</f>
        <v>-2503316</v>
      </c>
      <c r="J288" s="146">
        <f t="shared" ref="J288:J298" si="76">SUM(G288:I288)</f>
        <v>-6949024</v>
      </c>
      <c r="K288" s="146">
        <f t="shared" ref="K288:K298" si="77">F288-J288</f>
        <v>0</v>
      </c>
      <c r="L288" s="287">
        <v>-6949024</v>
      </c>
      <c r="M288" s="308">
        <f t="shared" si="65"/>
        <v>0</v>
      </c>
    </row>
    <row r="289" spans="1:13">
      <c r="A289" s="137">
        <v>17</v>
      </c>
      <c r="C289" s="37" t="s">
        <v>507</v>
      </c>
      <c r="D289" s="237" t="s">
        <v>2</v>
      </c>
      <c r="F289" s="262">
        <v>16607215</v>
      </c>
      <c r="G289" s="35">
        <f t="shared" si="73"/>
        <v>9736810</v>
      </c>
      <c r="H289" s="35">
        <f t="shared" si="74"/>
        <v>887822</v>
      </c>
      <c r="I289" s="34">
        <f t="shared" si="75"/>
        <v>5982583</v>
      </c>
      <c r="J289" s="146">
        <f t="shared" si="76"/>
        <v>16607215</v>
      </c>
      <c r="K289" s="146">
        <f t="shared" si="77"/>
        <v>0</v>
      </c>
      <c r="L289" s="287">
        <v>16607215</v>
      </c>
      <c r="M289" s="308">
        <f t="shared" si="65"/>
        <v>0</v>
      </c>
    </row>
    <row r="290" spans="1:13">
      <c r="A290" s="137">
        <v>18</v>
      </c>
      <c r="C290" s="37" t="s">
        <v>506</v>
      </c>
      <c r="D290" s="237" t="s">
        <v>60</v>
      </c>
      <c r="F290" s="262">
        <v>0</v>
      </c>
      <c r="G290" s="35">
        <f t="shared" si="73"/>
        <v>0</v>
      </c>
      <c r="H290" s="35">
        <f t="shared" si="74"/>
        <v>0</v>
      </c>
      <c r="I290" s="34">
        <f t="shared" si="75"/>
        <v>0</v>
      </c>
      <c r="J290" s="146">
        <f t="shared" si="76"/>
        <v>0</v>
      </c>
      <c r="K290" s="146">
        <f t="shared" si="77"/>
        <v>0</v>
      </c>
      <c r="L290" s="287">
        <v>0</v>
      </c>
      <c r="M290" s="308">
        <f t="shared" si="65"/>
        <v>0</v>
      </c>
    </row>
    <row r="291" spans="1:13">
      <c r="A291" s="137">
        <v>19</v>
      </c>
      <c r="C291" s="37" t="s">
        <v>471</v>
      </c>
      <c r="D291" s="237" t="s">
        <v>2</v>
      </c>
      <c r="F291" s="262">
        <f>1890125+634827-875631</f>
        <v>1649321</v>
      </c>
      <c r="G291" s="35">
        <f t="shared" si="73"/>
        <v>966997</v>
      </c>
      <c r="H291" s="35">
        <f t="shared" si="74"/>
        <v>88173</v>
      </c>
      <c r="I291" s="34">
        <f t="shared" si="75"/>
        <v>594151</v>
      </c>
      <c r="J291" s="146">
        <f t="shared" si="76"/>
        <v>1649321</v>
      </c>
      <c r="K291" s="146">
        <f t="shared" si="77"/>
        <v>0</v>
      </c>
      <c r="L291" s="287">
        <v>1649321</v>
      </c>
      <c r="M291" s="308">
        <f t="shared" si="65"/>
        <v>0</v>
      </c>
    </row>
    <row r="292" spans="1:13">
      <c r="A292" s="137">
        <v>20</v>
      </c>
      <c r="C292" s="37" t="s">
        <v>505</v>
      </c>
      <c r="D292" s="237" t="s">
        <v>2</v>
      </c>
      <c r="F292" s="262">
        <v>0</v>
      </c>
      <c r="G292" s="35">
        <f t="shared" si="73"/>
        <v>0</v>
      </c>
      <c r="H292" s="35">
        <f t="shared" si="74"/>
        <v>0</v>
      </c>
      <c r="I292" s="34">
        <f t="shared" si="75"/>
        <v>0</v>
      </c>
      <c r="J292" s="146">
        <f t="shared" si="76"/>
        <v>0</v>
      </c>
      <c r="K292" s="146">
        <f t="shared" si="77"/>
        <v>0</v>
      </c>
      <c r="L292" s="287">
        <v>0</v>
      </c>
      <c r="M292" s="308">
        <f t="shared" si="65"/>
        <v>0</v>
      </c>
    </row>
    <row r="293" spans="1:13">
      <c r="A293" s="137">
        <v>21</v>
      </c>
      <c r="C293" s="37" t="s">
        <v>483</v>
      </c>
      <c r="D293" s="237" t="s">
        <v>2</v>
      </c>
      <c r="F293" s="262"/>
      <c r="G293" s="35">
        <f t="shared" si="73"/>
        <v>0</v>
      </c>
      <c r="H293" s="35">
        <f t="shared" si="74"/>
        <v>0</v>
      </c>
      <c r="I293" s="34">
        <f t="shared" si="75"/>
        <v>0</v>
      </c>
      <c r="J293" s="146">
        <f t="shared" si="76"/>
        <v>0</v>
      </c>
      <c r="K293" s="146">
        <f t="shared" si="77"/>
        <v>0</v>
      </c>
      <c r="L293" s="287"/>
      <c r="M293" s="308">
        <f t="shared" si="65"/>
        <v>0</v>
      </c>
    </row>
    <row r="294" spans="1:13">
      <c r="A294" s="137">
        <v>22</v>
      </c>
      <c r="C294" s="37" t="s">
        <v>504</v>
      </c>
      <c r="D294" s="237" t="s">
        <v>117</v>
      </c>
      <c r="F294" s="262">
        <v>312005</v>
      </c>
      <c r="G294" s="35">
        <f t="shared" si="73"/>
        <v>0</v>
      </c>
      <c r="H294" s="35">
        <f t="shared" si="74"/>
        <v>62</v>
      </c>
      <c r="I294" s="34">
        <f t="shared" si="75"/>
        <v>311943</v>
      </c>
      <c r="J294" s="146">
        <f t="shared" si="76"/>
        <v>312005</v>
      </c>
      <c r="K294" s="146">
        <f t="shared" si="77"/>
        <v>0</v>
      </c>
      <c r="L294" s="287">
        <v>312005</v>
      </c>
      <c r="M294" s="308">
        <f t="shared" si="65"/>
        <v>0</v>
      </c>
    </row>
    <row r="295" spans="1:13">
      <c r="A295" s="137">
        <v>23</v>
      </c>
      <c r="C295" s="37" t="s">
        <v>503</v>
      </c>
      <c r="D295" s="237" t="s">
        <v>43</v>
      </c>
      <c r="F295" s="262">
        <v>389415</v>
      </c>
      <c r="G295" s="35">
        <f t="shared" si="73"/>
        <v>228648</v>
      </c>
      <c r="H295" s="35">
        <f t="shared" si="74"/>
        <v>20581</v>
      </c>
      <c r="I295" s="34">
        <f t="shared" si="75"/>
        <v>140186</v>
      </c>
      <c r="J295" s="146">
        <f t="shared" si="76"/>
        <v>389415</v>
      </c>
      <c r="K295" s="146">
        <f t="shared" si="77"/>
        <v>0</v>
      </c>
      <c r="L295" s="287">
        <v>389415</v>
      </c>
      <c r="M295" s="308">
        <f t="shared" si="65"/>
        <v>0</v>
      </c>
    </row>
    <row r="296" spans="1:13">
      <c r="A296" s="137">
        <v>24</v>
      </c>
      <c r="C296" s="37" t="s">
        <v>502</v>
      </c>
      <c r="D296" s="237" t="s">
        <v>60</v>
      </c>
      <c r="F296" s="262">
        <v>54032</v>
      </c>
      <c r="G296" s="35">
        <f t="shared" si="73"/>
        <v>41711</v>
      </c>
      <c r="H296" s="35">
        <f t="shared" si="74"/>
        <v>5626</v>
      </c>
      <c r="I296" s="34">
        <f t="shared" si="75"/>
        <v>6695</v>
      </c>
      <c r="J296" s="146">
        <f t="shared" si="76"/>
        <v>54032</v>
      </c>
      <c r="K296" s="146">
        <f t="shared" si="77"/>
        <v>0</v>
      </c>
      <c r="L296" s="287">
        <v>54032</v>
      </c>
      <c r="M296" s="308">
        <f t="shared" si="65"/>
        <v>0</v>
      </c>
    </row>
    <row r="297" spans="1:13">
      <c r="A297" s="137">
        <v>25</v>
      </c>
      <c r="C297" s="37" t="s">
        <v>501</v>
      </c>
      <c r="D297" s="237" t="s">
        <v>43</v>
      </c>
      <c r="F297" s="262">
        <f>8221915</f>
        <v>8221915</v>
      </c>
      <c r="G297" s="35">
        <f t="shared" si="73"/>
        <v>4827580</v>
      </c>
      <c r="H297" s="35">
        <f t="shared" si="74"/>
        <v>434528</v>
      </c>
      <c r="I297" s="34">
        <f t="shared" si="75"/>
        <v>2959807</v>
      </c>
      <c r="J297" s="146">
        <f t="shared" si="76"/>
        <v>8221915</v>
      </c>
      <c r="K297" s="146">
        <f t="shared" si="77"/>
        <v>0</v>
      </c>
      <c r="L297" s="287">
        <v>8221915</v>
      </c>
      <c r="M297" s="308">
        <f t="shared" si="65"/>
        <v>0</v>
      </c>
    </row>
    <row r="298" spans="1:13">
      <c r="A298" s="137">
        <v>26</v>
      </c>
      <c r="C298" s="223" t="s">
        <v>500</v>
      </c>
      <c r="D298" s="237" t="s">
        <v>159</v>
      </c>
      <c r="F298" s="262">
        <v>0</v>
      </c>
      <c r="G298" s="35">
        <f t="shared" si="73"/>
        <v>0</v>
      </c>
      <c r="H298" s="35">
        <f t="shared" si="74"/>
        <v>0</v>
      </c>
      <c r="I298" s="34">
        <f t="shared" si="75"/>
        <v>0</v>
      </c>
      <c r="J298" s="146">
        <f t="shared" si="76"/>
        <v>0</v>
      </c>
      <c r="K298" s="146">
        <f t="shared" si="77"/>
        <v>0</v>
      </c>
      <c r="L298" s="287">
        <v>0</v>
      </c>
      <c r="M298" s="308">
        <f t="shared" si="65"/>
        <v>0</v>
      </c>
    </row>
    <row r="299" spans="1:13">
      <c r="A299" s="137">
        <v>27</v>
      </c>
      <c r="C299" s="152" t="s">
        <v>499</v>
      </c>
      <c r="D299" s="81"/>
      <c r="F299" s="260">
        <f>SUM(F288:F298)-F293</f>
        <v>20284879</v>
      </c>
      <c r="G299" s="151">
        <f>SUM(G287:G298)</f>
        <v>11727533</v>
      </c>
      <c r="H299" s="151">
        <f>SUM(H287:H298)</f>
        <v>1065297</v>
      </c>
      <c r="I299" s="150">
        <f>SUM(I287:I298)</f>
        <v>7492049</v>
      </c>
      <c r="J299" s="5">
        <f>SUM(J287:J298)</f>
        <v>20284879</v>
      </c>
      <c r="K299" s="5">
        <f>SUM(K287:K298)</f>
        <v>0</v>
      </c>
      <c r="L299" s="307">
        <v>20284879</v>
      </c>
      <c r="M299" s="308">
        <f t="shared" si="65"/>
        <v>0</v>
      </c>
    </row>
    <row r="300" spans="1:13">
      <c r="A300" s="137">
        <v>28</v>
      </c>
      <c r="D300" s="81"/>
      <c r="E300" s="32"/>
      <c r="F300" s="258"/>
      <c r="G300" s="40"/>
      <c r="H300" s="40"/>
      <c r="I300" s="39"/>
      <c r="M300" s="308">
        <f t="shared" si="65"/>
        <v>0</v>
      </c>
    </row>
    <row r="301" spans="1:13">
      <c r="A301" s="137">
        <v>29</v>
      </c>
      <c r="B301" s="3" t="s">
        <v>498</v>
      </c>
      <c r="D301" s="81"/>
      <c r="E301" s="32"/>
      <c r="F301" s="258"/>
      <c r="G301" s="40"/>
      <c r="H301" s="40"/>
      <c r="I301" s="39"/>
      <c r="M301" s="308">
        <f t="shared" si="65"/>
        <v>0</v>
      </c>
    </row>
    <row r="302" spans="1:13">
      <c r="A302" s="137">
        <v>30</v>
      </c>
      <c r="C302" s="37" t="s">
        <v>497</v>
      </c>
      <c r="D302" s="237" t="s">
        <v>2</v>
      </c>
      <c r="E302" s="32"/>
      <c r="F302" s="262">
        <v>190426</v>
      </c>
      <c r="G302" s="35">
        <f>F302-SUM(H302:I302)</f>
        <v>111647</v>
      </c>
      <c r="H302" s="35">
        <f>ROUND(F302*VLOOKUP(D302,ALLOCTABLE_FUNCTIONAL,$H$10,FALSE),0)</f>
        <v>10180</v>
      </c>
      <c r="I302" s="34">
        <f>ROUND(F302*VLOOKUP(D302,ALLOCTABLE_FUNCTIONAL,$I$10,FALSE),0)</f>
        <v>68599</v>
      </c>
      <c r="J302" s="146">
        <f>SUM(G302:I302)</f>
        <v>190426</v>
      </c>
      <c r="K302" s="146">
        <f>F302-J302</f>
        <v>0</v>
      </c>
      <c r="L302" s="287">
        <v>190426</v>
      </c>
      <c r="M302" s="308">
        <f t="shared" si="65"/>
        <v>0</v>
      </c>
    </row>
    <row r="303" spans="1:13">
      <c r="A303" s="137">
        <v>31</v>
      </c>
      <c r="C303" s="37" t="s">
        <v>496</v>
      </c>
      <c r="D303" s="237" t="s">
        <v>2</v>
      </c>
      <c r="E303" s="32"/>
      <c r="F303" s="262">
        <v>0</v>
      </c>
      <c r="G303" s="35">
        <f>F303-SUM(H303:I303)</f>
        <v>0</v>
      </c>
      <c r="H303" s="35">
        <f>ROUND(F303*VLOOKUP(D303,ALLOCTABLE_FUNCTIONAL,$H$10,FALSE),0)</f>
        <v>0</v>
      </c>
      <c r="I303" s="34">
        <f>ROUND(F303*VLOOKUP(D303,ALLOCTABLE_FUNCTIONAL,$I$10,FALSE),0)</f>
        <v>0</v>
      </c>
      <c r="J303" s="146">
        <f>SUM(G303:I303)</f>
        <v>0</v>
      </c>
      <c r="K303" s="146">
        <f>F303-J303</f>
        <v>0</v>
      </c>
      <c r="L303" s="287">
        <v>0</v>
      </c>
      <c r="M303" s="308">
        <f t="shared" si="65"/>
        <v>0</v>
      </c>
    </row>
    <row r="304" spans="1:13">
      <c r="A304" s="137">
        <v>32</v>
      </c>
      <c r="C304" s="37" t="s">
        <v>495</v>
      </c>
      <c r="D304" s="237" t="s">
        <v>2</v>
      </c>
      <c r="E304" s="32"/>
      <c r="F304" s="262">
        <v>0</v>
      </c>
      <c r="G304" s="35">
        <f>F304-SUM(H304:I304)</f>
        <v>0</v>
      </c>
      <c r="H304" s="35">
        <f>ROUND(F304*VLOOKUP(D304,ALLOCTABLE_FUNCTIONAL,$H$10,FALSE),0)</f>
        <v>0</v>
      </c>
      <c r="I304" s="34">
        <f>ROUND(F304*VLOOKUP(D304,ALLOCTABLE_FUNCTIONAL,$I$10,FALSE),0)</f>
        <v>0</v>
      </c>
      <c r="J304" s="146">
        <f>SUM(G304:I304)</f>
        <v>0</v>
      </c>
      <c r="K304" s="146">
        <f>F304-J304</f>
        <v>0</v>
      </c>
      <c r="L304" s="287">
        <v>0</v>
      </c>
      <c r="M304" s="308">
        <f t="shared" si="65"/>
        <v>0</v>
      </c>
    </row>
    <row r="305" spans="1:13">
      <c r="A305" s="137">
        <v>33</v>
      </c>
      <c r="C305" s="223" t="s">
        <v>494</v>
      </c>
      <c r="D305" s="81" t="s">
        <v>2</v>
      </c>
      <c r="E305" s="32"/>
      <c r="F305" s="262">
        <v>0</v>
      </c>
      <c r="G305" s="35">
        <f>F305-SUM(H305:I305)</f>
        <v>0</v>
      </c>
      <c r="H305" s="35">
        <f>ROUND(F305*VLOOKUP(D305,ALLOCTABLE_FUNCTIONAL,$H$10,FALSE),0)</f>
        <v>0</v>
      </c>
      <c r="I305" s="34">
        <f>ROUND(F305*VLOOKUP(D305,ALLOCTABLE_FUNCTIONAL,$I$10,FALSE),0)</f>
        <v>0</v>
      </c>
      <c r="J305" s="146">
        <f>SUM(G305:I305)</f>
        <v>0</v>
      </c>
      <c r="K305" s="146">
        <f>F305-J305</f>
        <v>0</v>
      </c>
      <c r="L305" s="287">
        <v>0</v>
      </c>
      <c r="M305" s="308">
        <f t="shared" si="65"/>
        <v>0</v>
      </c>
    </row>
    <row r="306" spans="1:13">
      <c r="A306" s="137">
        <v>34</v>
      </c>
      <c r="C306" s="152" t="s">
        <v>493</v>
      </c>
      <c r="E306" s="32"/>
      <c r="F306" s="260">
        <f t="shared" ref="F306:K306" si="78">SUM(F301:F305)</f>
        <v>190426</v>
      </c>
      <c r="G306" s="151">
        <f t="shared" si="78"/>
        <v>111647</v>
      </c>
      <c r="H306" s="151">
        <f t="shared" si="78"/>
        <v>10180</v>
      </c>
      <c r="I306" s="150">
        <f t="shared" si="78"/>
        <v>68599</v>
      </c>
      <c r="J306" s="5">
        <f t="shared" si="78"/>
        <v>190426</v>
      </c>
      <c r="K306" s="5">
        <f t="shared" si="78"/>
        <v>0</v>
      </c>
      <c r="L306" s="307">
        <v>190426</v>
      </c>
      <c r="M306" s="308">
        <f t="shared" si="65"/>
        <v>0</v>
      </c>
    </row>
    <row r="307" spans="1:13">
      <c r="A307" s="137">
        <v>35</v>
      </c>
      <c r="D307" s="12"/>
      <c r="E307" s="32"/>
      <c r="F307" s="258"/>
      <c r="G307" s="40"/>
      <c r="H307" s="40"/>
      <c r="I307" s="39"/>
      <c r="M307" s="308">
        <f t="shared" si="65"/>
        <v>0</v>
      </c>
    </row>
    <row r="308" spans="1:13">
      <c r="A308" s="137">
        <v>36</v>
      </c>
      <c r="B308" s="1" t="s">
        <v>492</v>
      </c>
      <c r="D308" s="12"/>
      <c r="E308" s="32"/>
      <c r="F308" s="259">
        <f t="shared" ref="F308:K308" si="79">F306+F299+F285</f>
        <v>250185546</v>
      </c>
      <c r="G308" s="148">
        <f t="shared" si="79"/>
        <v>113335981</v>
      </c>
      <c r="H308" s="148">
        <f t="shared" si="79"/>
        <v>10360194</v>
      </c>
      <c r="I308" s="147">
        <f t="shared" si="79"/>
        <v>126489371</v>
      </c>
      <c r="J308" s="146">
        <f t="shared" si="79"/>
        <v>250185546</v>
      </c>
      <c r="K308" s="146">
        <f t="shared" si="79"/>
        <v>0</v>
      </c>
      <c r="L308" s="298">
        <v>250185546</v>
      </c>
      <c r="M308" s="308">
        <f t="shared" si="65"/>
        <v>0</v>
      </c>
    </row>
    <row r="309" spans="1:13">
      <c r="B309" s="67"/>
      <c r="C309" s="32"/>
      <c r="D309" s="12"/>
      <c r="E309" s="32"/>
      <c r="F309" s="255"/>
      <c r="G309" s="27"/>
      <c r="H309" s="27"/>
      <c r="I309" s="27"/>
      <c r="J309" s="27"/>
      <c r="K309" s="27"/>
      <c r="L309" s="253"/>
      <c r="M309" s="308">
        <f t="shared" si="65"/>
        <v>0</v>
      </c>
    </row>
    <row r="310" spans="1:13">
      <c r="A310" s="67" t="str">
        <f>co_name</f>
        <v>DUKE ENERGY KENTUCKY, INC.</v>
      </c>
      <c r="C310" s="32"/>
      <c r="D310" s="12"/>
      <c r="E310" s="32"/>
      <c r="F310" s="255"/>
      <c r="G310" s="27"/>
      <c r="H310" s="27"/>
      <c r="I310" s="27"/>
      <c r="J310" s="27" t="str">
        <f>J1</f>
        <v>FR-16(7)(v)-1</v>
      </c>
      <c r="K310" s="27"/>
      <c r="L310" s="253"/>
      <c r="M310" s="308">
        <f t="shared" si="65"/>
        <v>0</v>
      </c>
    </row>
    <row r="311" spans="1:13">
      <c r="A311" s="67" t="str">
        <f>$A$2</f>
        <v>FUNCTIONAL ELECTRIC COST OF SERVICE</v>
      </c>
      <c r="C311" s="32"/>
      <c r="D311" s="12"/>
      <c r="E311" s="32"/>
      <c r="F311" s="255"/>
      <c r="G311" s="27"/>
      <c r="H311" s="27"/>
      <c r="I311" s="27"/>
      <c r="J311" s="27" t="str">
        <f>J2</f>
        <v>WITNESS RESPONSIBLE:</v>
      </c>
      <c r="K311" s="27"/>
      <c r="L311" s="253"/>
      <c r="M311" s="308">
        <f t="shared" si="65"/>
        <v>0</v>
      </c>
    </row>
    <row r="312" spans="1:13">
      <c r="A312" s="67" t="str">
        <f>case_name</f>
        <v>CASE NO: 2017-00321</v>
      </c>
      <c r="C312" s="32"/>
      <c r="D312" s="12"/>
      <c r="E312" s="32"/>
      <c r="F312" s="255"/>
      <c r="G312" s="27"/>
      <c r="H312" s="27"/>
      <c r="I312" s="27"/>
      <c r="J312" s="27" t="str">
        <f>Witness</f>
        <v>JAMES E. ZIOLKOWSKI</v>
      </c>
      <c r="K312" s="27"/>
      <c r="L312" s="253"/>
      <c r="M312" s="308">
        <f t="shared" si="65"/>
        <v>0</v>
      </c>
    </row>
    <row r="313" spans="1:13">
      <c r="A313" s="67" t="str">
        <f>data_filing</f>
        <v>DATA: 12 MONTHS ACTUAL  &amp; 0 MONTHS ESTIMATED</v>
      </c>
      <c r="C313" s="32"/>
      <c r="D313" s="12"/>
      <c r="E313" s="32"/>
      <c r="F313" s="255"/>
      <c r="G313" s="27"/>
      <c r="H313" s="27"/>
      <c r="I313" s="27"/>
      <c r="J313" s="27" t="str">
        <f>"PAGE "&amp;Pages-12&amp;" OF "&amp;Pages</f>
        <v>PAGE 6 OF 18</v>
      </c>
      <c r="K313" s="27"/>
      <c r="L313" s="253"/>
      <c r="M313" s="308">
        <f t="shared" si="65"/>
        <v>0</v>
      </c>
    </row>
    <row r="314" spans="1:13">
      <c r="A314" s="67" t="str">
        <f>type</f>
        <v xml:space="preserve">TYPE OF FILING: "X" ORIGINAL   UPDATED    REVISED  </v>
      </c>
      <c r="C314" s="32"/>
      <c r="D314" s="12"/>
      <c r="E314" s="32"/>
      <c r="F314" s="255"/>
      <c r="G314" s="27"/>
      <c r="H314" s="27"/>
      <c r="I314" s="27"/>
      <c r="J314" s="27"/>
      <c r="K314" s="27"/>
      <c r="L314" s="253"/>
      <c r="M314" s="308">
        <f t="shared" si="65"/>
        <v>0</v>
      </c>
    </row>
    <row r="315" spans="1:13">
      <c r="B315" s="67"/>
      <c r="C315" s="32"/>
      <c r="D315" s="12"/>
      <c r="E315" s="32"/>
      <c r="F315" s="255"/>
      <c r="G315" s="27"/>
      <c r="H315" s="27"/>
      <c r="I315" s="27"/>
      <c r="J315" s="27"/>
      <c r="K315" s="27"/>
      <c r="L315" s="253"/>
      <c r="M315" s="308">
        <f t="shared" si="65"/>
        <v>0</v>
      </c>
    </row>
    <row r="316" spans="1:13">
      <c r="B316" s="67"/>
      <c r="C316" s="32"/>
      <c r="D316" s="12"/>
      <c r="E316" s="32"/>
      <c r="F316" s="255"/>
      <c r="G316" s="27"/>
      <c r="H316" s="27"/>
      <c r="I316" s="27"/>
      <c r="J316" s="27"/>
      <c r="K316" s="27"/>
      <c r="L316" s="253"/>
      <c r="M316" s="308">
        <f t="shared" si="65"/>
        <v>0</v>
      </c>
    </row>
    <row r="317" spans="1:13">
      <c r="A317" s="8" t="s">
        <v>91</v>
      </c>
      <c r="B317" s="27"/>
      <c r="C317" s="32"/>
      <c r="D317" s="12"/>
      <c r="E317" s="32"/>
      <c r="F317" s="256" t="s">
        <v>1</v>
      </c>
      <c r="G317" s="65" t="s">
        <v>90</v>
      </c>
      <c r="H317" s="65"/>
      <c r="I317" s="64"/>
      <c r="J317" s="8" t="s">
        <v>1</v>
      </c>
      <c r="K317" s="8" t="s">
        <v>89</v>
      </c>
      <c r="L317" s="284" t="s">
        <v>1</v>
      </c>
      <c r="M317" s="308" t="e">
        <f t="shared" si="65"/>
        <v>#VALUE!</v>
      </c>
    </row>
    <row r="318" spans="1:13">
      <c r="A318" s="57" t="s">
        <v>88</v>
      </c>
      <c r="B318" s="145" t="s">
        <v>491</v>
      </c>
      <c r="C318" s="62"/>
      <c r="D318" s="56" t="s">
        <v>85</v>
      </c>
      <c r="E318" s="62"/>
      <c r="F318" s="264" t="str">
        <f>$F$9</f>
        <v>ELECTRIC</v>
      </c>
      <c r="G318" s="59" t="str">
        <f t="shared" ref="G318:I319" si="80">G9</f>
        <v>PRODUCTION</v>
      </c>
      <c r="H318" s="59" t="str">
        <f t="shared" si="80"/>
        <v>TRANSMISSION</v>
      </c>
      <c r="I318" s="58" t="str">
        <f t="shared" si="80"/>
        <v>DISTRIBUTION</v>
      </c>
      <c r="J318" s="57" t="s">
        <v>84</v>
      </c>
      <c r="K318" s="57" t="s">
        <v>83</v>
      </c>
      <c r="L318" s="285" t="s">
        <v>82</v>
      </c>
      <c r="M318" s="308" t="e">
        <f t="shared" si="65"/>
        <v>#VALUE!</v>
      </c>
    </row>
    <row r="319" spans="1:13">
      <c r="C319" s="144" t="s">
        <v>490</v>
      </c>
      <c r="D319" s="12"/>
      <c r="E319" s="32"/>
      <c r="F319" s="258"/>
      <c r="G319" s="53">
        <f t="shared" si="80"/>
        <v>3</v>
      </c>
      <c r="H319" s="53">
        <f t="shared" si="80"/>
        <v>4</v>
      </c>
      <c r="I319" s="52">
        <f t="shared" si="80"/>
        <v>5</v>
      </c>
      <c r="M319" s="308">
        <f t="shared" si="65"/>
        <v>0</v>
      </c>
    </row>
    <row r="320" spans="1:13">
      <c r="A320" s="137">
        <v>1</v>
      </c>
      <c r="B320" s="1" t="s">
        <v>489</v>
      </c>
      <c r="D320" s="12"/>
      <c r="E320" s="32"/>
      <c r="F320" s="258"/>
      <c r="G320" s="40"/>
      <c r="H320" s="40"/>
      <c r="I320" s="39"/>
      <c r="M320" s="308">
        <f t="shared" si="65"/>
        <v>0</v>
      </c>
    </row>
    <row r="321" spans="1:13">
      <c r="A321" s="137">
        <v>2</v>
      </c>
      <c r="B321" s="1" t="s">
        <v>488</v>
      </c>
      <c r="D321" s="12"/>
      <c r="E321" s="32"/>
      <c r="F321" s="258"/>
      <c r="G321" s="40"/>
      <c r="H321" s="40"/>
      <c r="I321" s="39"/>
      <c r="M321" s="308">
        <f t="shared" si="65"/>
        <v>0</v>
      </c>
    </row>
    <row r="322" spans="1:13">
      <c r="A322" s="137">
        <v>3</v>
      </c>
      <c r="C322" s="37" t="s">
        <v>487</v>
      </c>
      <c r="D322" s="237" t="s">
        <v>159</v>
      </c>
      <c r="F322" s="262">
        <v>-63940</v>
      </c>
      <c r="G322" s="35">
        <f t="shared" ref="G322:G344" si="81">F322-SUM(H322:I322)</f>
        <v>0</v>
      </c>
      <c r="H322" s="35">
        <f t="shared" ref="H322:H344" si="82">ROUND(F322*VLOOKUP(D322,ALLOCTABLE_FUNCTIONAL,$H$10,FALSE),0)</f>
        <v>-391</v>
      </c>
      <c r="I322" s="34">
        <f t="shared" ref="I322:I344" si="83">ROUND(F322*VLOOKUP(D322,ALLOCTABLE_FUNCTIONAL,$I$10,FALSE),0)</f>
        <v>-63549</v>
      </c>
      <c r="J322" s="146">
        <f t="shared" ref="J322:J344" si="84">SUM(G322:I322)</f>
        <v>-63940</v>
      </c>
      <c r="K322" s="146">
        <f t="shared" ref="K322:K344" si="85">F322-J322</f>
        <v>0</v>
      </c>
      <c r="L322" s="287">
        <v>-63940</v>
      </c>
      <c r="M322" s="308">
        <f t="shared" si="65"/>
        <v>0</v>
      </c>
    </row>
    <row r="323" spans="1:13">
      <c r="A323" s="137">
        <v>4</v>
      </c>
      <c r="C323" s="37" t="s">
        <v>486</v>
      </c>
      <c r="D323" s="237" t="s">
        <v>43</v>
      </c>
      <c r="F323" s="262">
        <v>-169365</v>
      </c>
      <c r="G323" s="35">
        <f t="shared" si="81"/>
        <v>-99444</v>
      </c>
      <c r="H323" s="35">
        <f t="shared" si="82"/>
        <v>-8951</v>
      </c>
      <c r="I323" s="34">
        <f t="shared" si="83"/>
        <v>-60970</v>
      </c>
      <c r="J323" s="146">
        <f t="shared" si="84"/>
        <v>-169365</v>
      </c>
      <c r="K323" s="146">
        <f t="shared" si="85"/>
        <v>0</v>
      </c>
      <c r="L323" s="287">
        <v>-169365</v>
      </c>
      <c r="M323" s="308">
        <f t="shared" si="65"/>
        <v>0</v>
      </c>
    </row>
    <row r="324" spans="1:13">
      <c r="A324" s="137">
        <v>5</v>
      </c>
      <c r="C324" s="37" t="s">
        <v>267</v>
      </c>
      <c r="D324" s="237" t="s">
        <v>2</v>
      </c>
      <c r="F324" s="262">
        <v>0</v>
      </c>
      <c r="G324" s="35">
        <f t="shared" si="81"/>
        <v>0</v>
      </c>
      <c r="H324" s="35">
        <f t="shared" si="82"/>
        <v>0</v>
      </c>
      <c r="I324" s="34">
        <f t="shared" si="83"/>
        <v>0</v>
      </c>
      <c r="J324" s="146">
        <f t="shared" si="84"/>
        <v>0</v>
      </c>
      <c r="K324" s="146">
        <f t="shared" si="85"/>
        <v>0</v>
      </c>
      <c r="L324" s="287">
        <v>0</v>
      </c>
      <c r="M324" s="308">
        <f t="shared" si="65"/>
        <v>0</v>
      </c>
    </row>
    <row r="325" spans="1:13">
      <c r="A325" s="137">
        <v>6</v>
      </c>
      <c r="C325" s="37" t="s">
        <v>267</v>
      </c>
      <c r="D325" s="237" t="s">
        <v>2</v>
      </c>
      <c r="F325" s="262">
        <v>0</v>
      </c>
      <c r="G325" s="35">
        <f t="shared" si="81"/>
        <v>0</v>
      </c>
      <c r="H325" s="35">
        <f t="shared" si="82"/>
        <v>0</v>
      </c>
      <c r="I325" s="34">
        <f t="shared" si="83"/>
        <v>0</v>
      </c>
      <c r="J325" s="146">
        <f t="shared" si="84"/>
        <v>0</v>
      </c>
      <c r="K325" s="146">
        <f t="shared" si="85"/>
        <v>0</v>
      </c>
      <c r="L325" s="287">
        <v>0</v>
      </c>
      <c r="M325" s="308">
        <f t="shared" si="65"/>
        <v>0</v>
      </c>
    </row>
    <row r="326" spans="1:13">
      <c r="A326" s="137">
        <v>7</v>
      </c>
      <c r="C326" s="37" t="s">
        <v>485</v>
      </c>
      <c r="D326" s="237" t="s">
        <v>163</v>
      </c>
      <c r="F326" s="262">
        <v>0</v>
      </c>
      <c r="G326" s="35">
        <f t="shared" si="81"/>
        <v>0</v>
      </c>
      <c r="H326" s="35">
        <f t="shared" si="82"/>
        <v>0</v>
      </c>
      <c r="I326" s="34">
        <f t="shared" si="83"/>
        <v>0</v>
      </c>
      <c r="J326" s="146">
        <f t="shared" si="84"/>
        <v>0</v>
      </c>
      <c r="K326" s="146">
        <f t="shared" si="85"/>
        <v>0</v>
      </c>
      <c r="L326" s="287">
        <v>0</v>
      </c>
      <c r="M326" s="308">
        <f t="shared" si="65"/>
        <v>0</v>
      </c>
    </row>
    <row r="327" spans="1:13">
      <c r="A327" s="137">
        <v>8</v>
      </c>
      <c r="C327" s="37" t="s">
        <v>484</v>
      </c>
      <c r="D327" s="237" t="s">
        <v>117</v>
      </c>
      <c r="F327" s="262">
        <v>5766</v>
      </c>
      <c r="G327" s="35">
        <f t="shared" si="81"/>
        <v>0</v>
      </c>
      <c r="H327" s="35">
        <f t="shared" si="82"/>
        <v>1</v>
      </c>
      <c r="I327" s="34">
        <f t="shared" si="83"/>
        <v>5765</v>
      </c>
      <c r="J327" s="146">
        <f t="shared" si="84"/>
        <v>5766</v>
      </c>
      <c r="K327" s="146">
        <f t="shared" si="85"/>
        <v>0</v>
      </c>
      <c r="L327" s="287">
        <v>5766</v>
      </c>
      <c r="M327" s="308">
        <f t="shared" si="65"/>
        <v>0</v>
      </c>
    </row>
    <row r="328" spans="1:13">
      <c r="A328" s="137">
        <v>9</v>
      </c>
      <c r="C328" s="37" t="s">
        <v>483</v>
      </c>
      <c r="D328" s="237" t="s">
        <v>2</v>
      </c>
      <c r="F328" s="262"/>
      <c r="G328" s="35">
        <f t="shared" si="81"/>
        <v>0</v>
      </c>
      <c r="H328" s="35">
        <f t="shared" si="82"/>
        <v>0</v>
      </c>
      <c r="I328" s="34">
        <f t="shared" si="83"/>
        <v>0</v>
      </c>
      <c r="J328" s="146">
        <f t="shared" si="84"/>
        <v>0</v>
      </c>
      <c r="K328" s="146">
        <f t="shared" si="85"/>
        <v>0</v>
      </c>
      <c r="L328" s="287"/>
      <c r="M328" s="308">
        <f t="shared" si="65"/>
        <v>0</v>
      </c>
    </row>
    <row r="329" spans="1:13">
      <c r="A329" s="137">
        <v>10</v>
      </c>
      <c r="C329" s="37" t="s">
        <v>482</v>
      </c>
      <c r="D329" s="237" t="s">
        <v>43</v>
      </c>
      <c r="F329" s="262">
        <f>-4066055-39521</f>
        <v>-4105576</v>
      </c>
      <c r="G329" s="35">
        <f t="shared" si="81"/>
        <v>-2410630</v>
      </c>
      <c r="H329" s="35">
        <f t="shared" si="82"/>
        <v>-216980</v>
      </c>
      <c r="I329" s="34">
        <f t="shared" si="83"/>
        <v>-1477966</v>
      </c>
      <c r="J329" s="146">
        <f t="shared" si="84"/>
        <v>-4105576</v>
      </c>
      <c r="K329" s="146">
        <f t="shared" si="85"/>
        <v>0</v>
      </c>
      <c r="L329" s="287">
        <v>-4105576</v>
      </c>
      <c r="M329" s="308">
        <f t="shared" si="65"/>
        <v>0</v>
      </c>
    </row>
    <row r="330" spans="1:13">
      <c r="A330" s="137">
        <v>11</v>
      </c>
      <c r="C330" s="37" t="s">
        <v>481</v>
      </c>
      <c r="D330" s="237" t="s">
        <v>43</v>
      </c>
      <c r="F330" s="262">
        <v>-1584621</v>
      </c>
      <c r="G330" s="35">
        <f t="shared" si="81"/>
        <v>-930426</v>
      </c>
      <c r="H330" s="35">
        <f t="shared" si="82"/>
        <v>-83747</v>
      </c>
      <c r="I330" s="34">
        <f t="shared" si="83"/>
        <v>-570448</v>
      </c>
      <c r="J330" s="146">
        <f t="shared" si="84"/>
        <v>-1584621</v>
      </c>
      <c r="K330" s="146">
        <f t="shared" si="85"/>
        <v>0</v>
      </c>
      <c r="L330" s="287">
        <v>-1584621</v>
      </c>
      <c r="M330" s="308">
        <f t="shared" si="65"/>
        <v>0</v>
      </c>
    </row>
    <row r="331" spans="1:13">
      <c r="A331" s="137">
        <v>12</v>
      </c>
      <c r="C331" s="37" t="s">
        <v>480</v>
      </c>
      <c r="D331" s="237" t="s">
        <v>43</v>
      </c>
      <c r="F331" s="262">
        <v>0</v>
      </c>
      <c r="G331" s="35">
        <f t="shared" si="81"/>
        <v>0</v>
      </c>
      <c r="H331" s="35">
        <f t="shared" si="82"/>
        <v>0</v>
      </c>
      <c r="I331" s="34">
        <f t="shared" si="83"/>
        <v>0</v>
      </c>
      <c r="J331" s="146">
        <f t="shared" si="84"/>
        <v>0</v>
      </c>
      <c r="K331" s="146">
        <f t="shared" si="85"/>
        <v>0</v>
      </c>
      <c r="L331" s="287">
        <v>0</v>
      </c>
      <c r="M331" s="308">
        <f t="shared" si="65"/>
        <v>0</v>
      </c>
    </row>
    <row r="332" spans="1:13">
      <c r="A332" s="137">
        <v>13</v>
      </c>
      <c r="C332" s="37" t="s">
        <v>479</v>
      </c>
      <c r="D332" s="237" t="s">
        <v>43</v>
      </c>
      <c r="F332" s="262">
        <v>-92386</v>
      </c>
      <c r="G332" s="35">
        <f t="shared" si="81"/>
        <v>-54245</v>
      </c>
      <c r="H332" s="35">
        <f t="shared" si="82"/>
        <v>-4883</v>
      </c>
      <c r="I332" s="34">
        <f t="shared" si="83"/>
        <v>-33258</v>
      </c>
      <c r="J332" s="146">
        <f t="shared" si="84"/>
        <v>-92386</v>
      </c>
      <c r="K332" s="146">
        <f t="shared" si="85"/>
        <v>0</v>
      </c>
      <c r="L332" s="287">
        <v>-92386</v>
      </c>
      <c r="M332" s="308">
        <f t="shared" ref="M332:M395" si="86">L332-F332</f>
        <v>0</v>
      </c>
    </row>
    <row r="333" spans="1:13">
      <c r="A333" s="137">
        <v>14</v>
      </c>
      <c r="C333" s="37" t="s">
        <v>478</v>
      </c>
      <c r="D333" s="237" t="s">
        <v>43</v>
      </c>
      <c r="F333" s="262">
        <v>0</v>
      </c>
      <c r="G333" s="35">
        <f t="shared" si="81"/>
        <v>0</v>
      </c>
      <c r="H333" s="35">
        <f t="shared" si="82"/>
        <v>0</v>
      </c>
      <c r="I333" s="34">
        <f t="shared" si="83"/>
        <v>0</v>
      </c>
      <c r="J333" s="146">
        <f t="shared" si="84"/>
        <v>0</v>
      </c>
      <c r="K333" s="146">
        <f t="shared" si="85"/>
        <v>0</v>
      </c>
      <c r="L333" s="287">
        <v>0</v>
      </c>
      <c r="M333" s="308">
        <f t="shared" si="86"/>
        <v>0</v>
      </c>
    </row>
    <row r="334" spans="1:13">
      <c r="A334" s="137">
        <v>15</v>
      </c>
      <c r="C334" s="37" t="s">
        <v>477</v>
      </c>
      <c r="D334" s="237" t="s">
        <v>43</v>
      </c>
      <c r="F334" s="262">
        <v>-125478</v>
      </c>
      <c r="G334" s="35">
        <f t="shared" si="81"/>
        <v>-73675</v>
      </c>
      <c r="H334" s="35">
        <f t="shared" si="82"/>
        <v>-6632</v>
      </c>
      <c r="I334" s="34">
        <f t="shared" si="83"/>
        <v>-45171</v>
      </c>
      <c r="J334" s="146">
        <f t="shared" si="84"/>
        <v>-125478</v>
      </c>
      <c r="K334" s="146">
        <f t="shared" si="85"/>
        <v>0</v>
      </c>
      <c r="L334" s="287">
        <v>-125478</v>
      </c>
      <c r="M334" s="308">
        <f t="shared" si="86"/>
        <v>0</v>
      </c>
    </row>
    <row r="335" spans="1:13">
      <c r="A335" s="137">
        <v>16</v>
      </c>
      <c r="C335" s="37" t="s">
        <v>476</v>
      </c>
      <c r="D335" s="237" t="s">
        <v>43</v>
      </c>
      <c r="F335" s="262"/>
      <c r="G335" s="35">
        <f t="shared" si="81"/>
        <v>0</v>
      </c>
      <c r="H335" s="35">
        <f t="shared" si="82"/>
        <v>0</v>
      </c>
      <c r="I335" s="34">
        <f t="shared" si="83"/>
        <v>0</v>
      </c>
      <c r="J335" s="146">
        <f t="shared" si="84"/>
        <v>0</v>
      </c>
      <c r="K335" s="146">
        <f t="shared" si="85"/>
        <v>0</v>
      </c>
      <c r="L335" s="287"/>
      <c r="M335" s="308">
        <f t="shared" si="86"/>
        <v>0</v>
      </c>
    </row>
    <row r="336" spans="1:13">
      <c r="A336" s="137">
        <v>17</v>
      </c>
      <c r="C336" s="37" t="s">
        <v>475</v>
      </c>
      <c r="D336" s="237" t="s">
        <v>43</v>
      </c>
      <c r="F336" s="262">
        <v>-22893</v>
      </c>
      <c r="G336" s="35">
        <f t="shared" si="81"/>
        <v>-13442</v>
      </c>
      <c r="H336" s="35">
        <f t="shared" si="82"/>
        <v>-1210</v>
      </c>
      <c r="I336" s="34">
        <f t="shared" si="83"/>
        <v>-8241</v>
      </c>
      <c r="J336" s="146">
        <f t="shared" si="84"/>
        <v>-22893</v>
      </c>
      <c r="K336" s="146">
        <f t="shared" si="85"/>
        <v>0</v>
      </c>
      <c r="L336" s="287">
        <v>-22893</v>
      </c>
      <c r="M336" s="308">
        <f t="shared" si="86"/>
        <v>0</v>
      </c>
    </row>
    <row r="337" spans="1:13">
      <c r="A337" s="137">
        <v>18</v>
      </c>
      <c r="C337" s="37" t="s">
        <v>474</v>
      </c>
      <c r="D337" s="237" t="s">
        <v>43</v>
      </c>
      <c r="F337" s="262">
        <v>-279680</v>
      </c>
      <c r="G337" s="35">
        <f t="shared" si="81"/>
        <v>-164217</v>
      </c>
      <c r="H337" s="35">
        <f t="shared" si="82"/>
        <v>-14781</v>
      </c>
      <c r="I337" s="34">
        <f t="shared" si="83"/>
        <v>-100682</v>
      </c>
      <c r="J337" s="146">
        <f t="shared" si="84"/>
        <v>-279680</v>
      </c>
      <c r="K337" s="146">
        <f t="shared" si="85"/>
        <v>0</v>
      </c>
      <c r="L337" s="287">
        <v>-279680</v>
      </c>
      <c r="M337" s="308">
        <f t="shared" si="86"/>
        <v>0</v>
      </c>
    </row>
    <row r="338" spans="1:13">
      <c r="A338" s="137">
        <v>19</v>
      </c>
      <c r="C338" s="37" t="s">
        <v>473</v>
      </c>
      <c r="D338" s="237" t="s">
        <v>2</v>
      </c>
      <c r="F338" s="262">
        <v>-3609315</v>
      </c>
      <c r="G338" s="35">
        <f t="shared" si="81"/>
        <v>-2116141</v>
      </c>
      <c r="H338" s="35">
        <f t="shared" si="82"/>
        <v>-192954</v>
      </c>
      <c r="I338" s="34">
        <f t="shared" si="83"/>
        <v>-1300220</v>
      </c>
      <c r="J338" s="146">
        <f t="shared" si="84"/>
        <v>-3609315</v>
      </c>
      <c r="K338" s="146">
        <f t="shared" si="85"/>
        <v>0</v>
      </c>
      <c r="L338" s="287">
        <v>-3609315</v>
      </c>
      <c r="M338" s="308">
        <f t="shared" si="86"/>
        <v>0</v>
      </c>
    </row>
    <row r="339" spans="1:13">
      <c r="A339" s="137">
        <v>20</v>
      </c>
      <c r="C339" s="238" t="s">
        <v>472</v>
      </c>
      <c r="D339" s="237" t="s">
        <v>43</v>
      </c>
      <c r="F339" s="262">
        <v>-5644</v>
      </c>
      <c r="G339" s="35">
        <f t="shared" si="81"/>
        <v>-3314</v>
      </c>
      <c r="H339" s="35">
        <f t="shared" si="82"/>
        <v>-298</v>
      </c>
      <c r="I339" s="34">
        <f t="shared" si="83"/>
        <v>-2032</v>
      </c>
      <c r="J339" s="146">
        <f t="shared" si="84"/>
        <v>-5644</v>
      </c>
      <c r="K339" s="146">
        <f t="shared" si="85"/>
        <v>0</v>
      </c>
      <c r="L339" s="287">
        <v>-5644</v>
      </c>
      <c r="M339" s="308">
        <f t="shared" si="86"/>
        <v>0</v>
      </c>
    </row>
    <row r="340" spans="1:13">
      <c r="A340" s="137">
        <v>21</v>
      </c>
      <c r="C340" s="37" t="s">
        <v>471</v>
      </c>
      <c r="D340" s="237" t="s">
        <v>2</v>
      </c>
      <c r="F340" s="262">
        <f>95750+18745+84</f>
        <v>114579</v>
      </c>
      <c r="G340" s="35">
        <f t="shared" si="81"/>
        <v>67178</v>
      </c>
      <c r="H340" s="35">
        <f t="shared" si="82"/>
        <v>6125</v>
      </c>
      <c r="I340" s="34">
        <f t="shared" si="83"/>
        <v>41276</v>
      </c>
      <c r="J340" s="146">
        <f t="shared" si="84"/>
        <v>114579</v>
      </c>
      <c r="K340" s="146">
        <f t="shared" si="85"/>
        <v>0</v>
      </c>
      <c r="L340" s="287">
        <v>114579</v>
      </c>
      <c r="M340" s="308">
        <f t="shared" si="86"/>
        <v>0</v>
      </c>
    </row>
    <row r="341" spans="1:13">
      <c r="A341" s="137">
        <v>22</v>
      </c>
      <c r="C341" s="37" t="s">
        <v>470</v>
      </c>
      <c r="D341" s="237" t="s">
        <v>43</v>
      </c>
      <c r="F341" s="262">
        <v>-721070</v>
      </c>
      <c r="G341" s="35">
        <f t="shared" si="81"/>
        <v>-423383</v>
      </c>
      <c r="H341" s="35">
        <f t="shared" si="82"/>
        <v>-38109</v>
      </c>
      <c r="I341" s="34">
        <f t="shared" si="83"/>
        <v>-259578</v>
      </c>
      <c r="J341" s="146">
        <f t="shared" si="84"/>
        <v>-721070</v>
      </c>
      <c r="K341" s="146">
        <f t="shared" si="85"/>
        <v>0</v>
      </c>
      <c r="L341" s="287">
        <v>-721070</v>
      </c>
      <c r="M341" s="308">
        <f t="shared" si="86"/>
        <v>0</v>
      </c>
    </row>
    <row r="342" spans="1:13">
      <c r="A342" s="137">
        <v>23</v>
      </c>
      <c r="C342" s="37" t="s">
        <v>469</v>
      </c>
      <c r="D342" s="237" t="s">
        <v>2</v>
      </c>
      <c r="F342" s="262">
        <v>2121603</v>
      </c>
      <c r="G342" s="35">
        <f t="shared" si="81"/>
        <v>1243896</v>
      </c>
      <c r="H342" s="35">
        <f t="shared" si="82"/>
        <v>113421</v>
      </c>
      <c r="I342" s="34">
        <f t="shared" si="83"/>
        <v>764286</v>
      </c>
      <c r="J342" s="146">
        <f t="shared" si="84"/>
        <v>2121603</v>
      </c>
      <c r="K342" s="146">
        <f t="shared" si="85"/>
        <v>0</v>
      </c>
      <c r="L342" s="287">
        <v>2121603</v>
      </c>
      <c r="M342" s="308">
        <f t="shared" si="86"/>
        <v>0</v>
      </c>
    </row>
    <row r="343" spans="1:13">
      <c r="A343" s="137">
        <v>24</v>
      </c>
      <c r="C343" s="37" t="s">
        <v>468</v>
      </c>
      <c r="D343" s="237" t="s">
        <v>2</v>
      </c>
      <c r="F343" s="262">
        <v>-235975</v>
      </c>
      <c r="G343" s="35">
        <f t="shared" si="81"/>
        <v>-138352</v>
      </c>
      <c r="H343" s="35">
        <f t="shared" si="82"/>
        <v>-12615</v>
      </c>
      <c r="I343" s="34">
        <f t="shared" si="83"/>
        <v>-85008</v>
      </c>
      <c r="J343" s="146">
        <f t="shared" si="84"/>
        <v>-235975</v>
      </c>
      <c r="K343" s="146">
        <f t="shared" si="85"/>
        <v>0</v>
      </c>
      <c r="L343" s="287">
        <v>-235975</v>
      </c>
      <c r="M343" s="308">
        <f t="shared" si="86"/>
        <v>0</v>
      </c>
    </row>
    <row r="344" spans="1:13">
      <c r="A344" s="137">
        <v>25</v>
      </c>
      <c r="C344" s="217" t="s">
        <v>467</v>
      </c>
      <c r="D344" s="237" t="s">
        <v>2</v>
      </c>
      <c r="F344" s="262">
        <v>0</v>
      </c>
      <c r="G344" s="35">
        <f t="shared" si="81"/>
        <v>0</v>
      </c>
      <c r="H344" s="35">
        <f t="shared" si="82"/>
        <v>0</v>
      </c>
      <c r="I344" s="34">
        <f t="shared" si="83"/>
        <v>0</v>
      </c>
      <c r="J344" s="146">
        <f t="shared" si="84"/>
        <v>0</v>
      </c>
      <c r="K344" s="146">
        <f t="shared" si="85"/>
        <v>0</v>
      </c>
      <c r="L344" s="287">
        <v>0</v>
      </c>
      <c r="M344" s="308">
        <f t="shared" si="86"/>
        <v>0</v>
      </c>
    </row>
    <row r="345" spans="1:13">
      <c r="A345" s="137">
        <v>26</v>
      </c>
      <c r="C345" s="3" t="s">
        <v>466</v>
      </c>
      <c r="D345" s="81"/>
      <c r="F345" s="260">
        <f t="shared" ref="F345:K345" si="87">SUM(F321:F344)</f>
        <v>-8773995</v>
      </c>
      <c r="G345" s="151">
        <f t="shared" si="87"/>
        <v>-5116195</v>
      </c>
      <c r="H345" s="151">
        <f t="shared" si="87"/>
        <v>-462004</v>
      </c>
      <c r="I345" s="150">
        <f t="shared" si="87"/>
        <v>-3195796</v>
      </c>
      <c r="J345" s="5">
        <f t="shared" si="87"/>
        <v>-8773995</v>
      </c>
      <c r="K345" s="5">
        <f t="shared" si="87"/>
        <v>0</v>
      </c>
      <c r="L345" s="307">
        <v>-8773995</v>
      </c>
      <c r="M345" s="308">
        <f t="shared" si="86"/>
        <v>0</v>
      </c>
    </row>
    <row r="346" spans="1:13">
      <c r="A346" s="137">
        <v>27</v>
      </c>
      <c r="D346" s="81"/>
      <c r="E346" s="32"/>
      <c r="F346" s="258"/>
      <c r="G346" s="40"/>
      <c r="H346" s="40"/>
      <c r="I346" s="39"/>
      <c r="M346" s="308">
        <f t="shared" si="86"/>
        <v>0</v>
      </c>
    </row>
    <row r="347" spans="1:13">
      <c r="A347" s="137">
        <v>28</v>
      </c>
      <c r="B347" s="1" t="s">
        <v>465</v>
      </c>
      <c r="D347" s="81"/>
      <c r="E347" s="32"/>
      <c r="F347" s="258"/>
      <c r="G347" s="40"/>
      <c r="H347" s="40"/>
      <c r="I347" s="39"/>
      <c r="M347" s="308">
        <f t="shared" si="86"/>
        <v>0</v>
      </c>
    </row>
    <row r="348" spans="1:13">
      <c r="A348" s="137">
        <v>29</v>
      </c>
      <c r="C348" s="37" t="s">
        <v>267</v>
      </c>
      <c r="D348" s="237" t="s">
        <v>117</v>
      </c>
      <c r="F348" s="262">
        <v>0</v>
      </c>
      <c r="G348" s="35">
        <f>F348-SUM(H348:I348)</f>
        <v>0</v>
      </c>
      <c r="H348" s="35">
        <f>ROUND(F348*VLOOKUP(D348,ALLOCTABLE_FUNCTIONAL,$H$10,FALSE),0)</f>
        <v>0</v>
      </c>
      <c r="I348" s="34">
        <f>ROUND(F348*VLOOKUP(D348,ALLOCTABLE_FUNCTIONAL,$I$10,FALSE),0)</f>
        <v>0</v>
      </c>
      <c r="J348" s="146">
        <f>SUM(G348:I348)</f>
        <v>0</v>
      </c>
      <c r="K348" s="146">
        <f>F348-J348</f>
        <v>0</v>
      </c>
      <c r="L348" s="287">
        <v>0</v>
      </c>
      <c r="M348" s="308">
        <f t="shared" si="86"/>
        <v>0</v>
      </c>
    </row>
    <row r="349" spans="1:13">
      <c r="A349" s="137">
        <v>30</v>
      </c>
      <c r="C349" s="37" t="s">
        <v>267</v>
      </c>
      <c r="D349" s="237" t="s">
        <v>2</v>
      </c>
      <c r="F349" s="262">
        <v>0</v>
      </c>
      <c r="G349" s="35">
        <f>F349-SUM(H349:I349)</f>
        <v>0</v>
      </c>
      <c r="H349" s="35">
        <f>ROUND(F349*VLOOKUP(D349,ALLOCTABLE_FUNCTIONAL,$H$10,FALSE),0)</f>
        <v>0</v>
      </c>
      <c r="I349" s="34">
        <f>ROUND(F349*VLOOKUP(D349,ALLOCTABLE_FUNCTIONAL,$I$10,FALSE),0)</f>
        <v>0</v>
      </c>
      <c r="J349" s="146">
        <f>SUM(G349:I349)</f>
        <v>0</v>
      </c>
      <c r="K349" s="146">
        <f>F349-J349</f>
        <v>0</v>
      </c>
      <c r="L349" s="287">
        <v>0</v>
      </c>
      <c r="M349" s="308">
        <f t="shared" si="86"/>
        <v>0</v>
      </c>
    </row>
    <row r="350" spans="1:13">
      <c r="A350" s="137">
        <v>31</v>
      </c>
      <c r="C350" s="37" t="s">
        <v>267</v>
      </c>
      <c r="D350" s="237" t="s">
        <v>2</v>
      </c>
      <c r="F350" s="262">
        <v>0</v>
      </c>
      <c r="G350" s="35">
        <f>F350-SUM(H350:I350)</f>
        <v>0</v>
      </c>
      <c r="H350" s="35">
        <f>ROUND(F350*VLOOKUP(D350,ALLOCTABLE_FUNCTIONAL,$H$10,FALSE),0)</f>
        <v>0</v>
      </c>
      <c r="I350" s="34">
        <f>ROUND(F350*VLOOKUP(D350,ALLOCTABLE_FUNCTIONAL,$I$10,FALSE),0)</f>
        <v>0</v>
      </c>
      <c r="J350" s="146">
        <f>SUM(G350:I350)</f>
        <v>0</v>
      </c>
      <c r="K350" s="146">
        <f>F350-J350</f>
        <v>0</v>
      </c>
      <c r="L350" s="287">
        <v>0</v>
      </c>
      <c r="M350" s="308">
        <f t="shared" si="86"/>
        <v>0</v>
      </c>
    </row>
    <row r="351" spans="1:13">
      <c r="A351" s="137">
        <v>32</v>
      </c>
      <c r="C351" s="152" t="s">
        <v>464</v>
      </c>
      <c r="F351" s="260">
        <f>SUM(F348:F350)</f>
        <v>0</v>
      </c>
      <c r="G351" s="151">
        <f>SUM(G347:G350)</f>
        <v>0</v>
      </c>
      <c r="H351" s="151">
        <f>SUM(H347:H350)</f>
        <v>0</v>
      </c>
      <c r="I351" s="150">
        <f>SUM(I347:I350)</f>
        <v>0</v>
      </c>
      <c r="J351" s="5">
        <f>SUM(J347:J350)</f>
        <v>0</v>
      </c>
      <c r="K351" s="5">
        <f>SUM(K347:K350)</f>
        <v>0</v>
      </c>
      <c r="L351" s="307">
        <v>0</v>
      </c>
      <c r="M351" s="308">
        <f t="shared" si="86"/>
        <v>0</v>
      </c>
    </row>
    <row r="352" spans="1:13">
      <c r="A352" s="137">
        <v>33</v>
      </c>
      <c r="D352" s="12"/>
      <c r="F352" s="261" t="s">
        <v>3</v>
      </c>
      <c r="G352" s="40"/>
      <c r="H352" s="40"/>
      <c r="I352" s="39"/>
      <c r="L352" s="300" t="s">
        <v>3</v>
      </c>
      <c r="M352" s="308" t="e">
        <f t="shared" si="86"/>
        <v>#VALUE!</v>
      </c>
    </row>
    <row r="353" spans="1:13">
      <c r="A353" s="137">
        <v>34</v>
      </c>
      <c r="B353" s="1" t="s">
        <v>463</v>
      </c>
      <c r="D353" s="12"/>
      <c r="F353" s="261"/>
      <c r="G353" s="40"/>
      <c r="H353" s="40"/>
      <c r="I353" s="39"/>
      <c r="L353" s="300"/>
      <c r="M353" s="308">
        <f t="shared" si="86"/>
        <v>0</v>
      </c>
    </row>
    <row r="354" spans="1:13">
      <c r="A354" s="137">
        <v>35</v>
      </c>
      <c r="C354" s="37" t="s">
        <v>273</v>
      </c>
      <c r="D354" s="237" t="s">
        <v>144</v>
      </c>
      <c r="F354" s="262">
        <v>0</v>
      </c>
      <c r="G354" s="35">
        <f>F354-SUM(H354:I354)</f>
        <v>0</v>
      </c>
      <c r="H354" s="35">
        <f>ROUND(F354*VLOOKUP(D354,ALLOCTABLE_FUNCTIONAL,$H$10,FALSE),0)</f>
        <v>0</v>
      </c>
      <c r="I354" s="34">
        <f>ROUND(F354*VLOOKUP(D354,ALLOCTABLE_FUNCTIONAL,$I$10,FALSE),0)</f>
        <v>0</v>
      </c>
      <c r="J354" s="146">
        <f>SUM(G354:I354)</f>
        <v>0</v>
      </c>
      <c r="K354" s="146">
        <f>F354-J354</f>
        <v>0</v>
      </c>
      <c r="L354" s="287">
        <v>0</v>
      </c>
      <c r="M354" s="308">
        <f t="shared" si="86"/>
        <v>0</v>
      </c>
    </row>
    <row r="355" spans="1:13">
      <c r="A355" s="137">
        <v>36</v>
      </c>
      <c r="C355" s="37" t="s">
        <v>370</v>
      </c>
      <c r="D355" s="237" t="s">
        <v>142</v>
      </c>
      <c r="F355" s="262">
        <v>0</v>
      </c>
      <c r="G355" s="35">
        <f>F355-SUM(H355:I355)</f>
        <v>0</v>
      </c>
      <c r="H355" s="35">
        <f>ROUND(F355*VLOOKUP(D355,ALLOCTABLE_FUNCTIONAL,$H$10,FALSE),0)</f>
        <v>0</v>
      </c>
      <c r="I355" s="34">
        <f>ROUND(F355*VLOOKUP(D355,ALLOCTABLE_FUNCTIONAL,$I$10,FALSE),0)</f>
        <v>0</v>
      </c>
      <c r="J355" s="146">
        <f>SUM(G355:I355)</f>
        <v>0</v>
      </c>
      <c r="K355" s="146">
        <f>F355-J355</f>
        <v>0</v>
      </c>
      <c r="L355" s="287">
        <v>0</v>
      </c>
      <c r="M355" s="308">
        <f t="shared" si="86"/>
        <v>0</v>
      </c>
    </row>
    <row r="356" spans="1:13">
      <c r="A356" s="137">
        <v>37</v>
      </c>
      <c r="C356" s="37" t="s">
        <v>271</v>
      </c>
      <c r="D356" s="237" t="s">
        <v>138</v>
      </c>
      <c r="F356" s="262">
        <v>0</v>
      </c>
      <c r="G356" s="35">
        <f>F356-SUM(H356:I356)</f>
        <v>0</v>
      </c>
      <c r="H356" s="35">
        <f>ROUND(F356*VLOOKUP(D356,ALLOCTABLE_FUNCTIONAL,$H$10,FALSE),0)</f>
        <v>0</v>
      </c>
      <c r="I356" s="34">
        <f>ROUND(F356*VLOOKUP(D356,ALLOCTABLE_FUNCTIONAL,$I$10,FALSE),0)</f>
        <v>0</v>
      </c>
      <c r="J356" s="146">
        <f>SUM(G356:I356)</f>
        <v>0</v>
      </c>
      <c r="K356" s="146">
        <f>F356-J356</f>
        <v>0</v>
      </c>
      <c r="L356" s="287">
        <v>0</v>
      </c>
      <c r="M356" s="308">
        <f t="shared" si="86"/>
        <v>0</v>
      </c>
    </row>
    <row r="357" spans="1:13">
      <c r="A357" s="137">
        <v>38</v>
      </c>
      <c r="C357" s="37" t="s">
        <v>462</v>
      </c>
      <c r="D357" s="237" t="s">
        <v>130</v>
      </c>
      <c r="F357" s="262">
        <v>0</v>
      </c>
      <c r="G357" s="35">
        <f>F357-SUM(H357:I357)</f>
        <v>0</v>
      </c>
      <c r="H357" s="35">
        <f>ROUND(F357*VLOOKUP(D357,ALLOCTABLE_FUNCTIONAL,$H$10,FALSE),0)</f>
        <v>0</v>
      </c>
      <c r="I357" s="34">
        <f>ROUND(F357*VLOOKUP(D357,ALLOCTABLE_FUNCTIONAL,$I$10,FALSE),0)</f>
        <v>0</v>
      </c>
      <c r="J357" s="146">
        <f>SUM(G357:I357)</f>
        <v>0</v>
      </c>
      <c r="K357" s="146">
        <f>F357-J357</f>
        <v>0</v>
      </c>
      <c r="L357" s="287">
        <v>0</v>
      </c>
      <c r="M357" s="308">
        <f t="shared" si="86"/>
        <v>0</v>
      </c>
    </row>
    <row r="358" spans="1:13">
      <c r="A358" s="137">
        <v>39</v>
      </c>
      <c r="C358" s="37" t="s">
        <v>461</v>
      </c>
      <c r="D358" s="237" t="s">
        <v>132</v>
      </c>
      <c r="F358" s="262">
        <v>0</v>
      </c>
      <c r="G358" s="35">
        <f>F358-SUM(H358:I358)</f>
        <v>0</v>
      </c>
      <c r="H358" s="35">
        <f>ROUND(F358*VLOOKUP(D358,ALLOCTABLE_FUNCTIONAL,$H$10,FALSE),0)</f>
        <v>0</v>
      </c>
      <c r="I358" s="34">
        <f>ROUND(F358*VLOOKUP(D358,ALLOCTABLE_FUNCTIONAL,$I$10,FALSE),0)</f>
        <v>0</v>
      </c>
      <c r="J358" s="146">
        <f>SUM(G358:I358)</f>
        <v>0</v>
      </c>
      <c r="K358" s="146">
        <f>F358-J358</f>
        <v>0</v>
      </c>
      <c r="L358" s="287">
        <v>0</v>
      </c>
      <c r="M358" s="308">
        <f t="shared" si="86"/>
        <v>0</v>
      </c>
    </row>
    <row r="359" spans="1:13">
      <c r="A359" s="137">
        <v>40</v>
      </c>
      <c r="C359" s="152" t="s">
        <v>460</v>
      </c>
      <c r="D359" s="12"/>
      <c r="F359" s="260">
        <f t="shared" ref="F359:K359" si="88">SUM(F354:F358)</f>
        <v>0</v>
      </c>
      <c r="G359" s="151">
        <f t="shared" si="88"/>
        <v>0</v>
      </c>
      <c r="H359" s="151">
        <f t="shared" si="88"/>
        <v>0</v>
      </c>
      <c r="I359" s="150">
        <f t="shared" si="88"/>
        <v>0</v>
      </c>
      <c r="J359" s="5">
        <f t="shared" si="88"/>
        <v>0</v>
      </c>
      <c r="K359" s="5">
        <f t="shared" si="88"/>
        <v>0</v>
      </c>
      <c r="L359" s="307">
        <v>0</v>
      </c>
      <c r="M359" s="308">
        <f t="shared" si="86"/>
        <v>0</v>
      </c>
    </row>
    <row r="360" spans="1:13">
      <c r="A360" s="137">
        <v>41</v>
      </c>
      <c r="D360" s="12"/>
      <c r="F360" s="261"/>
      <c r="G360" s="40"/>
      <c r="H360" s="40"/>
      <c r="I360" s="39"/>
      <c r="L360" s="300"/>
      <c r="M360" s="308">
        <f t="shared" si="86"/>
        <v>0</v>
      </c>
    </row>
    <row r="361" spans="1:13">
      <c r="A361" s="137">
        <v>42</v>
      </c>
      <c r="B361" s="1" t="s">
        <v>459</v>
      </c>
      <c r="D361" s="12"/>
      <c r="F361" s="259">
        <f t="shared" ref="F361:K361" si="89">F345+F351+F359</f>
        <v>-8773995</v>
      </c>
      <c r="G361" s="148">
        <f t="shared" si="89"/>
        <v>-5116195</v>
      </c>
      <c r="H361" s="148">
        <f t="shared" si="89"/>
        <v>-462004</v>
      </c>
      <c r="I361" s="147">
        <f t="shared" si="89"/>
        <v>-3195796</v>
      </c>
      <c r="J361" s="146">
        <f t="shared" si="89"/>
        <v>-8773995</v>
      </c>
      <c r="K361" s="146">
        <f t="shared" si="89"/>
        <v>0</v>
      </c>
      <c r="L361" s="298">
        <v>-8773995</v>
      </c>
      <c r="M361" s="308">
        <f t="shared" si="86"/>
        <v>0</v>
      </c>
    </row>
    <row r="362" spans="1:13">
      <c r="B362" s="67"/>
      <c r="C362" s="32"/>
      <c r="D362" s="12"/>
      <c r="E362" s="32"/>
      <c r="F362" s="255"/>
      <c r="G362" s="27"/>
      <c r="H362" s="27"/>
      <c r="I362" s="27"/>
      <c r="J362" s="27"/>
      <c r="K362" s="27"/>
      <c r="L362" s="253"/>
      <c r="M362" s="308">
        <f t="shared" si="86"/>
        <v>0</v>
      </c>
    </row>
    <row r="363" spans="1:13">
      <c r="A363" s="67" t="str">
        <f>co_name</f>
        <v>DUKE ENERGY KENTUCKY, INC.</v>
      </c>
      <c r="C363" s="32"/>
      <c r="D363" s="12"/>
      <c r="E363" s="32"/>
      <c r="F363" s="255"/>
      <c r="G363" s="27"/>
      <c r="H363" s="27"/>
      <c r="I363" s="27"/>
      <c r="J363" s="27" t="str">
        <f>J1</f>
        <v>FR-16(7)(v)-1</v>
      </c>
      <c r="K363" s="27"/>
      <c r="L363" s="253"/>
      <c r="M363" s="308">
        <f t="shared" si="86"/>
        <v>0</v>
      </c>
    </row>
    <row r="364" spans="1:13">
      <c r="A364" s="67" t="str">
        <f>$A$2</f>
        <v>FUNCTIONAL ELECTRIC COST OF SERVICE</v>
      </c>
      <c r="C364" s="32"/>
      <c r="D364" s="12"/>
      <c r="E364" s="32"/>
      <c r="F364" s="255"/>
      <c r="G364" s="27"/>
      <c r="H364" s="27"/>
      <c r="I364" s="27"/>
      <c r="J364" s="27" t="str">
        <f>J2</f>
        <v>WITNESS RESPONSIBLE:</v>
      </c>
      <c r="K364" s="27"/>
      <c r="L364" s="253"/>
      <c r="M364" s="308">
        <f t="shared" si="86"/>
        <v>0</v>
      </c>
    </row>
    <row r="365" spans="1:13">
      <c r="A365" s="67" t="str">
        <f>case_name</f>
        <v>CASE NO: 2017-00321</v>
      </c>
      <c r="C365" s="32"/>
      <c r="D365" s="12"/>
      <c r="E365" s="32"/>
      <c r="F365" s="255"/>
      <c r="G365" s="27"/>
      <c r="H365" s="27"/>
      <c r="I365" s="27"/>
      <c r="J365" s="27" t="str">
        <f>Witness</f>
        <v>JAMES E. ZIOLKOWSKI</v>
      </c>
      <c r="K365" s="27"/>
      <c r="L365" s="253"/>
      <c r="M365" s="308">
        <f t="shared" si="86"/>
        <v>0</v>
      </c>
    </row>
    <row r="366" spans="1:13">
      <c r="A366" s="67" t="str">
        <f>data_filing</f>
        <v>DATA: 12 MONTHS ACTUAL  &amp; 0 MONTHS ESTIMATED</v>
      </c>
      <c r="C366" s="32"/>
      <c r="D366" s="12"/>
      <c r="E366" s="32"/>
      <c r="F366" s="255"/>
      <c r="G366" s="27"/>
      <c r="H366" s="27"/>
      <c r="I366" s="27"/>
      <c r="J366" s="27" t="str">
        <f>"PAGE "&amp;Pages-11&amp;" OF "&amp;Pages</f>
        <v>PAGE 7 OF 18</v>
      </c>
      <c r="K366" s="27"/>
      <c r="L366" s="253"/>
      <c r="M366" s="308">
        <f t="shared" si="86"/>
        <v>0</v>
      </c>
    </row>
    <row r="367" spans="1:13">
      <c r="A367" s="67" t="str">
        <f>type</f>
        <v xml:space="preserve">TYPE OF FILING: "X" ORIGINAL   UPDATED    REVISED  </v>
      </c>
      <c r="C367" s="32"/>
      <c r="D367" s="12"/>
      <c r="E367" s="32"/>
      <c r="F367" s="255"/>
      <c r="G367" s="27"/>
      <c r="H367" s="27"/>
      <c r="I367" s="27"/>
      <c r="J367" s="27"/>
      <c r="K367" s="27"/>
      <c r="L367" s="253"/>
      <c r="M367" s="308">
        <f t="shared" si="86"/>
        <v>0</v>
      </c>
    </row>
    <row r="368" spans="1:13">
      <c r="B368" s="67"/>
      <c r="C368" s="32"/>
      <c r="D368" s="12"/>
      <c r="E368" s="32"/>
      <c r="F368" s="255"/>
      <c r="G368" s="27"/>
      <c r="H368" s="27"/>
      <c r="I368" s="27"/>
      <c r="J368" s="27"/>
      <c r="K368" s="27"/>
      <c r="L368" s="253"/>
      <c r="M368" s="308">
        <f t="shared" si="86"/>
        <v>0</v>
      </c>
    </row>
    <row r="369" spans="1:14">
      <c r="B369" s="67"/>
      <c r="C369" s="32"/>
      <c r="D369" s="12"/>
      <c r="E369" s="32"/>
      <c r="F369" s="255"/>
      <c r="G369" s="27"/>
      <c r="H369" s="27"/>
      <c r="I369" s="27"/>
      <c r="J369" s="27"/>
      <c r="K369" s="27"/>
      <c r="L369" s="253"/>
      <c r="M369" s="308">
        <f t="shared" si="86"/>
        <v>0</v>
      </c>
    </row>
    <row r="370" spans="1:14">
      <c r="A370" s="8" t="s">
        <v>91</v>
      </c>
      <c r="B370" s="27"/>
      <c r="C370" s="32"/>
      <c r="D370" s="12"/>
      <c r="E370" s="32"/>
      <c r="F370" s="256" t="s">
        <v>1</v>
      </c>
      <c r="G370" s="65" t="s">
        <v>90</v>
      </c>
      <c r="H370" s="65"/>
      <c r="I370" s="64"/>
      <c r="J370" s="8" t="s">
        <v>1</v>
      </c>
      <c r="K370" s="8" t="s">
        <v>89</v>
      </c>
      <c r="L370" s="284" t="s">
        <v>1</v>
      </c>
      <c r="M370" s="308" t="e">
        <f t="shared" si="86"/>
        <v>#VALUE!</v>
      </c>
    </row>
    <row r="371" spans="1:14">
      <c r="A371" s="57" t="s">
        <v>88</v>
      </c>
      <c r="B371" s="145" t="s">
        <v>109</v>
      </c>
      <c r="C371" s="62"/>
      <c r="D371" s="56" t="s">
        <v>85</v>
      </c>
      <c r="E371" s="62"/>
      <c r="F371" s="264" t="str">
        <f>$F$9</f>
        <v>ELECTRIC</v>
      </c>
      <c r="G371" s="59" t="str">
        <f t="shared" ref="G371:I372" si="90">G9</f>
        <v>PRODUCTION</v>
      </c>
      <c r="H371" s="59" t="str">
        <f t="shared" si="90"/>
        <v>TRANSMISSION</v>
      </c>
      <c r="I371" s="58" t="str">
        <f t="shared" si="90"/>
        <v>DISTRIBUTION</v>
      </c>
      <c r="J371" s="57" t="s">
        <v>84</v>
      </c>
      <c r="K371" s="57" t="s">
        <v>83</v>
      </c>
      <c r="L371" s="285" t="s">
        <v>82</v>
      </c>
      <c r="M371" s="308" t="e">
        <f t="shared" si="86"/>
        <v>#VALUE!</v>
      </c>
    </row>
    <row r="372" spans="1:14">
      <c r="C372" s="144" t="s">
        <v>458</v>
      </c>
      <c r="D372" s="12"/>
      <c r="E372" s="128"/>
      <c r="F372" s="268"/>
      <c r="G372" s="53">
        <f t="shared" si="90"/>
        <v>3</v>
      </c>
      <c r="H372" s="53">
        <f t="shared" si="90"/>
        <v>4</v>
      </c>
      <c r="I372" s="52">
        <f t="shared" si="90"/>
        <v>5</v>
      </c>
      <c r="J372" s="128"/>
      <c r="K372" s="128"/>
      <c r="L372" s="312"/>
      <c r="M372" s="308">
        <f t="shared" si="86"/>
        <v>0</v>
      </c>
    </row>
    <row r="373" spans="1:14">
      <c r="C373" s="144"/>
      <c r="D373" s="12"/>
      <c r="E373" s="128"/>
      <c r="F373" s="268"/>
      <c r="G373" s="53"/>
      <c r="H373" s="53"/>
      <c r="I373" s="52"/>
      <c r="J373" s="128"/>
      <c r="K373" s="128"/>
      <c r="L373" s="312"/>
      <c r="M373" s="308">
        <f t="shared" si="86"/>
        <v>0</v>
      </c>
    </row>
    <row r="374" spans="1:14">
      <c r="A374" s="137">
        <v>1</v>
      </c>
      <c r="B374" s="1" t="s">
        <v>457</v>
      </c>
      <c r="D374" s="12"/>
      <c r="E374" s="32"/>
      <c r="F374" s="259">
        <f t="shared" ref="F374:K374" si="91">F261-F308+F361</f>
        <v>625736184.53920007</v>
      </c>
      <c r="G374" s="35">
        <f t="shared" si="91"/>
        <v>400247849.53920001</v>
      </c>
      <c r="H374" s="35">
        <f t="shared" si="91"/>
        <v>36469776</v>
      </c>
      <c r="I374" s="34">
        <f t="shared" si="91"/>
        <v>182365476</v>
      </c>
      <c r="J374" s="146">
        <f t="shared" si="91"/>
        <v>619083101.53920007</v>
      </c>
      <c r="K374" s="146">
        <f t="shared" si="91"/>
        <v>0</v>
      </c>
      <c r="L374" s="298">
        <v>625736184.53920007</v>
      </c>
      <c r="M374" s="308">
        <f t="shared" si="86"/>
        <v>0</v>
      </c>
      <c r="N374" s="85"/>
    </row>
    <row r="375" spans="1:14">
      <c r="A375" s="137">
        <v>2</v>
      </c>
      <c r="D375" s="12"/>
      <c r="E375" s="32"/>
      <c r="F375" s="258"/>
      <c r="G375" s="40"/>
      <c r="H375" s="40"/>
      <c r="I375" s="39"/>
      <c r="M375" s="308">
        <f t="shared" si="86"/>
        <v>0</v>
      </c>
    </row>
    <row r="376" spans="1:14">
      <c r="A376" s="137">
        <v>3</v>
      </c>
      <c r="B376" s="1" t="s">
        <v>109</v>
      </c>
      <c r="D376" s="12"/>
      <c r="E376" s="32"/>
      <c r="F376" s="258"/>
      <c r="G376" s="40"/>
      <c r="H376" s="40"/>
      <c r="I376" s="39"/>
      <c r="M376" s="308">
        <f t="shared" si="86"/>
        <v>0</v>
      </c>
    </row>
    <row r="377" spans="1:14">
      <c r="A377" s="137">
        <v>4</v>
      </c>
      <c r="D377" s="12"/>
      <c r="E377" s="32"/>
      <c r="F377" s="258"/>
      <c r="G377" s="40"/>
      <c r="H377" s="40"/>
      <c r="I377" s="39"/>
      <c r="M377" s="308">
        <f t="shared" si="86"/>
        <v>0</v>
      </c>
    </row>
    <row r="378" spans="1:14">
      <c r="A378" s="137">
        <v>5</v>
      </c>
      <c r="B378" s="1" t="s">
        <v>456</v>
      </c>
      <c r="F378" s="258"/>
      <c r="G378" s="40"/>
      <c r="H378" s="40"/>
      <c r="I378" s="39"/>
      <c r="M378" s="308">
        <f t="shared" si="86"/>
        <v>0</v>
      </c>
    </row>
    <row r="379" spans="1:14">
      <c r="A379" s="137">
        <v>6</v>
      </c>
      <c r="C379" s="37" t="s">
        <v>455</v>
      </c>
      <c r="D379" s="81" t="s">
        <v>134</v>
      </c>
      <c r="F379" s="265">
        <f>[4]SCH_B5s!$O$35</f>
        <v>20474771</v>
      </c>
      <c r="G379" s="35">
        <f>F379-SUM(H379:I379)</f>
        <v>13892542</v>
      </c>
      <c r="H379" s="35">
        <f>ROUND(F379*VLOOKUP(D379,ALLOCTABLE_FUNCTIONAL,$H$10,FALSE),0)</f>
        <v>806501</v>
      </c>
      <c r="I379" s="34">
        <f>ROUND(F379*VLOOKUP(D379,ALLOCTABLE_FUNCTIONAL,$I$10,FALSE),0)</f>
        <v>5775728</v>
      </c>
      <c r="J379" s="146">
        <f>SUM(G379:I379)</f>
        <v>20474771</v>
      </c>
      <c r="K379" s="146">
        <f>F379-J379</f>
        <v>0</v>
      </c>
      <c r="L379" s="306">
        <v>20474771</v>
      </c>
      <c r="M379" s="308">
        <f t="shared" si="86"/>
        <v>0</v>
      </c>
      <c r="N379" s="85"/>
    </row>
    <row r="380" spans="1:14">
      <c r="A380" s="137">
        <v>7</v>
      </c>
      <c r="C380" s="37" t="s">
        <v>428</v>
      </c>
      <c r="D380" s="81" t="s">
        <v>7</v>
      </c>
      <c r="F380" s="265">
        <f>[4]SCH_B5s!$O$27</f>
        <v>19946203</v>
      </c>
      <c r="G380" s="35">
        <f>F380-SUM(H380:I380)</f>
        <v>19946203</v>
      </c>
      <c r="H380" s="35">
        <f>ROUND(F380*VLOOKUP(D380,ALLOCTABLE_FUNCTIONAL,$H$10,FALSE),0)</f>
        <v>0</v>
      </c>
      <c r="I380" s="34">
        <f>ROUND(F380*VLOOKUP(D380,ALLOCTABLE_FUNCTIONAL,$I$10,FALSE),0)</f>
        <v>0</v>
      </c>
      <c r="J380" s="146">
        <f>SUM(G380:I380)</f>
        <v>19946203</v>
      </c>
      <c r="K380" s="146">
        <f>F380-J380</f>
        <v>0</v>
      </c>
      <c r="L380" s="306">
        <v>19946203</v>
      </c>
      <c r="M380" s="308">
        <f t="shared" si="86"/>
        <v>0</v>
      </c>
      <c r="N380" s="85"/>
    </row>
    <row r="381" spans="1:14">
      <c r="A381" s="137">
        <v>8</v>
      </c>
      <c r="C381" s="217" t="s">
        <v>426</v>
      </c>
      <c r="D381" s="81" t="s">
        <v>7</v>
      </c>
      <c r="F381" s="265">
        <f>[4]SCH_B5s!$O$33</f>
        <v>0</v>
      </c>
      <c r="G381" s="35">
        <f>F381-SUM(H381:I381)</f>
        <v>0</v>
      </c>
      <c r="H381" s="35">
        <f>ROUND(F381*VLOOKUP(D381,ALLOCTABLE_FUNCTIONAL,$H$10,FALSE),0)</f>
        <v>0</v>
      </c>
      <c r="I381" s="34">
        <f>ROUND(F381*VLOOKUP(D381,ALLOCTABLE_FUNCTIONAL,$I$10,FALSE),0)</f>
        <v>0</v>
      </c>
      <c r="J381" s="146">
        <f>SUM(G381:I381)</f>
        <v>0</v>
      </c>
      <c r="K381" s="146">
        <f>F381-J381</f>
        <v>0</v>
      </c>
      <c r="L381" s="306">
        <v>0</v>
      </c>
      <c r="M381" s="308">
        <f t="shared" si="86"/>
        <v>0</v>
      </c>
      <c r="N381" s="85"/>
    </row>
    <row r="382" spans="1:14">
      <c r="A382" s="137">
        <v>9</v>
      </c>
      <c r="C382" s="3" t="s">
        <v>454</v>
      </c>
      <c r="D382" s="81"/>
      <c r="F382" s="260">
        <f t="shared" ref="F382:K382" si="92">SUM(F378:F381)</f>
        <v>40420974</v>
      </c>
      <c r="G382" s="151">
        <f t="shared" si="92"/>
        <v>33838745</v>
      </c>
      <c r="H382" s="151">
        <f t="shared" si="92"/>
        <v>806501</v>
      </c>
      <c r="I382" s="150">
        <f t="shared" si="92"/>
        <v>5775728</v>
      </c>
      <c r="J382" s="5">
        <f t="shared" si="92"/>
        <v>40420974</v>
      </c>
      <c r="K382" s="5">
        <f t="shared" si="92"/>
        <v>0</v>
      </c>
      <c r="L382" s="307">
        <v>40420974</v>
      </c>
      <c r="M382" s="308">
        <f t="shared" si="86"/>
        <v>0</v>
      </c>
    </row>
    <row r="383" spans="1:14">
      <c r="A383" s="137">
        <v>10</v>
      </c>
      <c r="B383" s="1" t="s">
        <v>453</v>
      </c>
      <c r="D383" s="81"/>
      <c r="F383" s="259">
        <f t="shared" ref="F383:K383" si="93">F382</f>
        <v>40420974</v>
      </c>
      <c r="G383" s="35">
        <f t="shared" si="93"/>
        <v>33838745</v>
      </c>
      <c r="H383" s="35">
        <f t="shared" si="93"/>
        <v>806501</v>
      </c>
      <c r="I383" s="34">
        <f t="shared" si="93"/>
        <v>5775728</v>
      </c>
      <c r="J383" s="146">
        <f t="shared" si="93"/>
        <v>40420974</v>
      </c>
      <c r="K383" s="146">
        <f t="shared" si="93"/>
        <v>0</v>
      </c>
      <c r="L383" s="298">
        <v>40420974</v>
      </c>
      <c r="M383" s="308">
        <f t="shared" si="86"/>
        <v>0</v>
      </c>
    </row>
    <row r="384" spans="1:14">
      <c r="A384" s="137">
        <v>11</v>
      </c>
      <c r="D384" s="81"/>
      <c r="F384" s="258"/>
      <c r="G384" s="40"/>
      <c r="H384" s="40"/>
      <c r="I384" s="39"/>
      <c r="M384" s="308">
        <f t="shared" si="86"/>
        <v>0</v>
      </c>
    </row>
    <row r="385" spans="1:14">
      <c r="A385" s="137">
        <v>12</v>
      </c>
      <c r="B385" s="1" t="s">
        <v>452</v>
      </c>
      <c r="D385" s="81"/>
      <c r="F385" s="258"/>
      <c r="G385" s="40"/>
      <c r="H385" s="40"/>
      <c r="I385" s="39"/>
      <c r="M385" s="308">
        <f t="shared" si="86"/>
        <v>0</v>
      </c>
    </row>
    <row r="386" spans="1:14">
      <c r="A386" s="137">
        <v>13</v>
      </c>
      <c r="C386" s="37" t="s">
        <v>451</v>
      </c>
      <c r="D386" s="81" t="s">
        <v>2</v>
      </c>
      <c r="F386" s="269">
        <f>'[4]WPB-5''s'!$AC$98+'[4]WPB-5''s'!$AC$100</f>
        <v>0</v>
      </c>
      <c r="G386" s="35">
        <f>F386-SUM(H386:I386)</f>
        <v>0</v>
      </c>
      <c r="H386" s="35">
        <f>ROUND(F386*VLOOKUP(D386,ALLOCTABLE_FUNCTIONAL,$H$10,FALSE),0)</f>
        <v>0</v>
      </c>
      <c r="I386" s="34">
        <f>ROUND(F386*VLOOKUP(D386,ALLOCTABLE_FUNCTIONAL,$I$10,FALSE),0)</f>
        <v>0</v>
      </c>
      <c r="J386" s="146">
        <f>SUM(G386:I386)</f>
        <v>0</v>
      </c>
      <c r="K386" s="146">
        <f>F386-J386</f>
        <v>0</v>
      </c>
      <c r="L386" s="305">
        <v>0</v>
      </c>
      <c r="M386" s="308">
        <f t="shared" si="86"/>
        <v>0</v>
      </c>
    </row>
    <row r="387" spans="1:14">
      <c r="A387" s="137">
        <v>14</v>
      </c>
      <c r="C387" s="37" t="s">
        <v>450</v>
      </c>
      <c r="D387" s="81" t="s">
        <v>2</v>
      </c>
      <c r="F387" s="269">
        <v>0</v>
      </c>
      <c r="G387" s="35">
        <f>F387-SUM(H387:I387)</f>
        <v>0</v>
      </c>
      <c r="H387" s="35">
        <f>ROUND(F387*VLOOKUP(D387,ALLOCTABLE_FUNCTIONAL,$H$10,FALSE),0)</f>
        <v>0</v>
      </c>
      <c r="I387" s="34">
        <f>ROUND(F387*VLOOKUP(D387,ALLOCTABLE_FUNCTIONAL,$I$10,FALSE),0)</f>
        <v>0</v>
      </c>
      <c r="J387" s="146">
        <f>SUM(G387:I387)</f>
        <v>0</v>
      </c>
      <c r="K387" s="146">
        <f>F387-J387</f>
        <v>0</v>
      </c>
      <c r="L387" s="305">
        <v>0</v>
      </c>
      <c r="M387" s="308">
        <f t="shared" si="86"/>
        <v>0</v>
      </c>
    </row>
    <row r="388" spans="1:14">
      <c r="A388" s="137">
        <v>15</v>
      </c>
      <c r="C388" s="37" t="s">
        <v>449</v>
      </c>
      <c r="D388" s="81" t="s">
        <v>7</v>
      </c>
      <c r="F388" s="269">
        <f>'[4]WPB-5''s'!$AC$101</f>
        <v>0</v>
      </c>
      <c r="G388" s="35">
        <f>F388-SUM(H388:I388)</f>
        <v>0</v>
      </c>
      <c r="H388" s="35">
        <f>ROUND(F388*VLOOKUP(D388,ALLOCTABLE_FUNCTIONAL,$H$10,FALSE),0)</f>
        <v>0</v>
      </c>
      <c r="I388" s="34">
        <f>ROUND(F388*VLOOKUP(D388,ALLOCTABLE_FUNCTIONAL,$I$10,FALSE),0)</f>
        <v>0</v>
      </c>
      <c r="J388" s="146">
        <f>SUM(G388:I388)</f>
        <v>0</v>
      </c>
      <c r="K388" s="146">
        <f>F388-J388</f>
        <v>0</v>
      </c>
      <c r="L388" s="305">
        <v>0</v>
      </c>
      <c r="M388" s="308">
        <f t="shared" si="86"/>
        <v>0</v>
      </c>
    </row>
    <row r="389" spans="1:14">
      <c r="A389" s="137">
        <v>16</v>
      </c>
      <c r="C389" s="152" t="s">
        <v>448</v>
      </c>
      <c r="D389" s="81"/>
      <c r="F389" s="267">
        <f t="shared" ref="F389:K389" si="94">SUM(F385:F388)</f>
        <v>0</v>
      </c>
      <c r="G389" s="236">
        <f t="shared" si="94"/>
        <v>0</v>
      </c>
      <c r="H389" s="236">
        <f t="shared" si="94"/>
        <v>0</v>
      </c>
      <c r="I389" s="235">
        <f t="shared" si="94"/>
        <v>0</v>
      </c>
      <c r="J389" s="234">
        <f t="shared" si="94"/>
        <v>0</v>
      </c>
      <c r="K389" s="234">
        <f t="shared" si="94"/>
        <v>0</v>
      </c>
      <c r="L389" s="288">
        <v>0</v>
      </c>
      <c r="M389" s="308">
        <f t="shared" si="86"/>
        <v>0</v>
      </c>
    </row>
    <row r="390" spans="1:14">
      <c r="A390" s="137">
        <v>17</v>
      </c>
      <c r="D390" s="81"/>
      <c r="F390" s="258"/>
      <c r="G390" s="40"/>
      <c r="H390" s="40"/>
      <c r="I390" s="39"/>
      <c r="M390" s="308">
        <f t="shared" si="86"/>
        <v>0</v>
      </c>
    </row>
    <row r="391" spans="1:14">
      <c r="A391" s="137">
        <v>18</v>
      </c>
      <c r="B391" s="1" t="s">
        <v>447</v>
      </c>
      <c r="D391" s="81"/>
      <c r="F391" s="270">
        <f>[4]SCH_B5s!$O$17</f>
        <v>14215407</v>
      </c>
      <c r="G391" s="35">
        <f>F391-SUM(H391:I391)</f>
        <v>14215407</v>
      </c>
      <c r="H391" s="35">
        <f>IF(WorkingCap="No",0,ROUND((H533-H431-H432)/8,0))</f>
        <v>0</v>
      </c>
      <c r="I391" s="34">
        <f>IF(WorkingCap="No",0,ROUND((I533-I431-I432)/8,0))</f>
        <v>0</v>
      </c>
      <c r="J391" s="146">
        <f>SUM(G391:I391)</f>
        <v>14215407</v>
      </c>
      <c r="K391" s="146">
        <f>F391-J391</f>
        <v>0</v>
      </c>
      <c r="L391" s="313">
        <v>14215407</v>
      </c>
      <c r="M391" s="308">
        <f t="shared" si="86"/>
        <v>0</v>
      </c>
    </row>
    <row r="392" spans="1:14">
      <c r="A392" s="137">
        <v>19</v>
      </c>
      <c r="B392" s="1" t="s">
        <v>446</v>
      </c>
      <c r="D392" s="81"/>
      <c r="F392" s="259">
        <f t="shared" ref="F392:K392" si="95">F391</f>
        <v>14215407</v>
      </c>
      <c r="G392" s="35">
        <f t="shared" si="95"/>
        <v>14215407</v>
      </c>
      <c r="H392" s="35">
        <f t="shared" si="95"/>
        <v>0</v>
      </c>
      <c r="I392" s="34">
        <f t="shared" si="95"/>
        <v>0</v>
      </c>
      <c r="J392" s="146">
        <f t="shared" si="95"/>
        <v>14215407</v>
      </c>
      <c r="K392" s="146">
        <f t="shared" si="95"/>
        <v>0</v>
      </c>
      <c r="L392" s="298">
        <v>14215407</v>
      </c>
      <c r="M392" s="308">
        <f t="shared" si="86"/>
        <v>0</v>
      </c>
    </row>
    <row r="393" spans="1:14">
      <c r="A393" s="137">
        <v>20</v>
      </c>
      <c r="D393" s="81"/>
      <c r="F393" s="258"/>
      <c r="G393" s="40"/>
      <c r="H393" s="40"/>
      <c r="I393" s="39"/>
      <c r="M393" s="308">
        <f t="shared" si="86"/>
        <v>0</v>
      </c>
    </row>
    <row r="394" spans="1:14">
      <c r="A394" s="137">
        <v>21</v>
      </c>
      <c r="B394" s="1" t="s">
        <v>445</v>
      </c>
      <c r="D394" s="81"/>
      <c r="F394" s="258"/>
      <c r="G394" s="40"/>
      <c r="H394" s="40"/>
      <c r="I394" s="39"/>
      <c r="M394" s="308">
        <f t="shared" si="86"/>
        <v>0</v>
      </c>
    </row>
    <row r="395" spans="1:14">
      <c r="A395" s="137">
        <v>22</v>
      </c>
      <c r="C395" s="37" t="s">
        <v>267</v>
      </c>
      <c r="D395" s="81" t="s">
        <v>7</v>
      </c>
      <c r="F395" s="262">
        <v>0</v>
      </c>
      <c r="G395" s="35">
        <f>F395-SUM(H395:I395)</f>
        <v>0</v>
      </c>
      <c r="H395" s="35">
        <f>ROUND(F395*VLOOKUP(D395,ALLOCTABLE_FUNCTIONAL,$H$10,FALSE),0)</f>
        <v>0</v>
      </c>
      <c r="I395" s="34">
        <f>ROUND(F395*VLOOKUP(D395,ALLOCTABLE_FUNCTIONAL,$I$10,FALSE),0)</f>
        <v>0</v>
      </c>
      <c r="J395" s="146">
        <f>SUM(G395:I395)</f>
        <v>0</v>
      </c>
      <c r="K395" s="146">
        <f>F395-J395</f>
        <v>0</v>
      </c>
      <c r="L395" s="287">
        <v>0</v>
      </c>
      <c r="M395" s="308">
        <f t="shared" si="86"/>
        <v>0</v>
      </c>
      <c r="N395" s="85"/>
    </row>
    <row r="396" spans="1:14">
      <c r="A396" s="137">
        <v>23</v>
      </c>
      <c r="C396" s="37" t="s">
        <v>444</v>
      </c>
      <c r="D396" s="81" t="s">
        <v>43</v>
      </c>
      <c r="F396" s="265">
        <v>0</v>
      </c>
      <c r="G396" s="35">
        <f>F396-SUM(H396:I396)</f>
        <v>0</v>
      </c>
      <c r="H396" s="35">
        <f>ROUND(F396*VLOOKUP(D396,ALLOCTABLE_FUNCTIONAL,$H$10,FALSE),0)</f>
        <v>0</v>
      </c>
      <c r="I396" s="34">
        <f>ROUND(F396*VLOOKUP(D396,ALLOCTABLE_FUNCTIONAL,$I$10,FALSE),0)</f>
        <v>0</v>
      </c>
      <c r="J396" s="146">
        <f>SUM(G396:I396)</f>
        <v>0</v>
      </c>
      <c r="K396" s="146">
        <f>F396-J396</f>
        <v>0</v>
      </c>
      <c r="L396" s="306">
        <v>0</v>
      </c>
      <c r="M396" s="308">
        <f t="shared" ref="M396:M459" si="96">L396-F396</f>
        <v>0</v>
      </c>
      <c r="N396" s="85"/>
    </row>
    <row r="397" spans="1:14">
      <c r="A397" s="137">
        <v>24</v>
      </c>
      <c r="C397" s="217" t="s">
        <v>267</v>
      </c>
      <c r="D397" s="81" t="s">
        <v>117</v>
      </c>
      <c r="F397" s="265">
        <v>0</v>
      </c>
      <c r="G397" s="35">
        <f>F397-SUM(H397:I397)</f>
        <v>0</v>
      </c>
      <c r="H397" s="35">
        <f>ROUND(F397*VLOOKUP(D397,ALLOCTABLE_FUNCTIONAL,$H$10,FALSE),0)</f>
        <v>0</v>
      </c>
      <c r="I397" s="34">
        <f>ROUND(F397*VLOOKUP(D397,ALLOCTABLE_FUNCTIONAL,$I$10,FALSE),0)</f>
        <v>0</v>
      </c>
      <c r="J397" s="146">
        <f>SUM(G397:I397)</f>
        <v>0</v>
      </c>
      <c r="K397" s="146">
        <f>F397-J397</f>
        <v>0</v>
      </c>
      <c r="L397" s="306">
        <v>0</v>
      </c>
      <c r="M397" s="308">
        <f t="shared" si="96"/>
        <v>0</v>
      </c>
      <c r="N397" s="85"/>
    </row>
    <row r="398" spans="1:14">
      <c r="A398" s="137">
        <v>25</v>
      </c>
      <c r="C398" s="3" t="s">
        <v>443</v>
      </c>
      <c r="D398" s="81"/>
      <c r="F398" s="260">
        <f t="shared" ref="F398:K398" si="97">SUM(F394:F397)</f>
        <v>0</v>
      </c>
      <c r="G398" s="151">
        <f t="shared" si="97"/>
        <v>0</v>
      </c>
      <c r="H398" s="151">
        <f t="shared" si="97"/>
        <v>0</v>
      </c>
      <c r="I398" s="150">
        <f t="shared" si="97"/>
        <v>0</v>
      </c>
      <c r="J398" s="5">
        <f t="shared" si="97"/>
        <v>0</v>
      </c>
      <c r="K398" s="5">
        <f t="shared" si="97"/>
        <v>0</v>
      </c>
      <c r="L398" s="307">
        <v>0</v>
      </c>
      <c r="M398" s="308">
        <f t="shared" si="96"/>
        <v>0</v>
      </c>
      <c r="N398" s="85"/>
    </row>
    <row r="399" spans="1:14">
      <c r="A399" s="137">
        <v>26</v>
      </c>
      <c r="D399" s="81"/>
      <c r="F399" s="258"/>
      <c r="G399" s="40"/>
      <c r="H399" s="40"/>
      <c r="I399" s="39"/>
      <c r="M399" s="308">
        <f t="shared" si="96"/>
        <v>0</v>
      </c>
      <c r="N399" s="85"/>
    </row>
    <row r="400" spans="1:14">
      <c r="A400" s="137">
        <v>27</v>
      </c>
      <c r="B400" s="1" t="s">
        <v>440</v>
      </c>
      <c r="D400" s="81"/>
      <c r="F400" s="259">
        <f t="shared" ref="F400:K400" si="98">F383+F389+F392+F398</f>
        <v>54636381</v>
      </c>
      <c r="G400" s="35">
        <f t="shared" si="98"/>
        <v>48054152</v>
      </c>
      <c r="H400" s="35">
        <f t="shared" si="98"/>
        <v>806501</v>
      </c>
      <c r="I400" s="34">
        <f t="shared" si="98"/>
        <v>5775728</v>
      </c>
      <c r="J400" s="146">
        <f t="shared" si="98"/>
        <v>54636381</v>
      </c>
      <c r="K400" s="146">
        <f t="shared" si="98"/>
        <v>0</v>
      </c>
      <c r="L400" s="298">
        <v>54636381</v>
      </c>
      <c r="M400" s="308">
        <f t="shared" si="96"/>
        <v>0</v>
      </c>
      <c r="N400" s="85"/>
    </row>
    <row r="401" spans="1:14">
      <c r="A401" s="137">
        <v>28</v>
      </c>
      <c r="B401" s="1" t="s">
        <v>291</v>
      </c>
      <c r="D401" s="81"/>
      <c r="F401" s="258"/>
      <c r="G401" s="40"/>
      <c r="H401" s="40"/>
      <c r="I401" s="39"/>
      <c r="M401" s="308">
        <f t="shared" si="96"/>
        <v>0</v>
      </c>
      <c r="N401" s="85"/>
    </row>
    <row r="402" spans="1:14">
      <c r="A402" s="137">
        <v>29</v>
      </c>
      <c r="C402" s="3" t="s">
        <v>442</v>
      </c>
      <c r="F402" s="259">
        <f t="shared" ref="F402:K402" si="99">-F308</f>
        <v>-250185546</v>
      </c>
      <c r="G402" s="35">
        <f t="shared" si="99"/>
        <v>-113335981</v>
      </c>
      <c r="H402" s="35">
        <f t="shared" si="99"/>
        <v>-10360194</v>
      </c>
      <c r="I402" s="34">
        <f t="shared" si="99"/>
        <v>-126489371</v>
      </c>
      <c r="J402" s="146">
        <f t="shared" si="99"/>
        <v>-250185546</v>
      </c>
      <c r="K402" s="146">
        <f t="shared" si="99"/>
        <v>0</v>
      </c>
      <c r="L402" s="298">
        <v>-250185546</v>
      </c>
      <c r="M402" s="308">
        <f t="shared" si="96"/>
        <v>0</v>
      </c>
      <c r="N402" s="85"/>
    </row>
    <row r="403" spans="1:14">
      <c r="A403" s="137">
        <v>30</v>
      </c>
      <c r="C403" s="3" t="s">
        <v>441</v>
      </c>
      <c r="F403" s="259">
        <f t="shared" ref="F403:K403" si="100">F361</f>
        <v>-8773995</v>
      </c>
      <c r="G403" s="35">
        <f t="shared" si="100"/>
        <v>-5116195</v>
      </c>
      <c r="H403" s="35">
        <f t="shared" si="100"/>
        <v>-462004</v>
      </c>
      <c r="I403" s="34">
        <f t="shared" si="100"/>
        <v>-3195796</v>
      </c>
      <c r="J403" s="146">
        <f t="shared" si="100"/>
        <v>-8773995</v>
      </c>
      <c r="K403" s="146">
        <f t="shared" si="100"/>
        <v>0</v>
      </c>
      <c r="L403" s="298">
        <v>-8773995</v>
      </c>
      <c r="M403" s="308">
        <f t="shared" si="96"/>
        <v>0</v>
      </c>
      <c r="N403" s="85"/>
    </row>
    <row r="404" spans="1:14">
      <c r="A404" s="137">
        <v>31</v>
      </c>
      <c r="C404" s="154" t="s">
        <v>440</v>
      </c>
      <c r="D404" s="12"/>
      <c r="E404" s="32"/>
      <c r="F404" s="259">
        <f t="shared" ref="F404:K404" si="101">F400</f>
        <v>54636381</v>
      </c>
      <c r="G404" s="35">
        <f t="shared" si="101"/>
        <v>48054152</v>
      </c>
      <c r="H404" s="35">
        <f t="shared" si="101"/>
        <v>806501</v>
      </c>
      <c r="I404" s="34">
        <f t="shared" si="101"/>
        <v>5775728</v>
      </c>
      <c r="J404" s="146">
        <f t="shared" si="101"/>
        <v>54636381</v>
      </c>
      <c r="K404" s="146">
        <f t="shared" si="101"/>
        <v>0</v>
      </c>
      <c r="L404" s="298">
        <v>54636381</v>
      </c>
      <c r="M404" s="308">
        <f t="shared" si="96"/>
        <v>0</v>
      </c>
      <c r="N404" s="85"/>
    </row>
    <row r="405" spans="1:14">
      <c r="A405" s="137">
        <v>32</v>
      </c>
      <c r="C405" s="3" t="s">
        <v>439</v>
      </c>
      <c r="D405" s="12"/>
      <c r="E405" s="32"/>
      <c r="F405" s="260">
        <f t="shared" ref="F405:K405" si="102">SUM(F401:F404)</f>
        <v>-204323160</v>
      </c>
      <c r="G405" s="151">
        <f t="shared" si="102"/>
        <v>-70398024</v>
      </c>
      <c r="H405" s="151">
        <f t="shared" si="102"/>
        <v>-10015697</v>
      </c>
      <c r="I405" s="150">
        <f t="shared" si="102"/>
        <v>-123909439</v>
      </c>
      <c r="J405" s="5">
        <f t="shared" si="102"/>
        <v>-204323160</v>
      </c>
      <c r="K405" s="5">
        <f t="shared" si="102"/>
        <v>0</v>
      </c>
      <c r="L405" s="307">
        <v>-204323160</v>
      </c>
      <c r="M405" s="308">
        <f t="shared" si="96"/>
        <v>0</v>
      </c>
      <c r="N405" s="85"/>
    </row>
    <row r="406" spans="1:14">
      <c r="A406" s="137">
        <v>33</v>
      </c>
      <c r="D406" s="12"/>
      <c r="E406" s="32"/>
      <c r="F406" s="258"/>
      <c r="G406" s="40"/>
      <c r="H406" s="40"/>
      <c r="I406" s="39"/>
      <c r="M406" s="308">
        <f t="shared" si="96"/>
        <v>0</v>
      </c>
      <c r="N406" s="85"/>
    </row>
    <row r="407" spans="1:14">
      <c r="A407" s="137">
        <v>34</v>
      </c>
      <c r="B407" s="1" t="s">
        <v>438</v>
      </c>
      <c r="D407" s="12"/>
      <c r="E407" s="32"/>
      <c r="F407" s="258"/>
      <c r="G407" s="40"/>
      <c r="H407" s="40"/>
      <c r="I407" s="39"/>
      <c r="M407" s="308">
        <f t="shared" si="96"/>
        <v>0</v>
      </c>
      <c r="N407" s="85"/>
    </row>
    <row r="408" spans="1:14">
      <c r="A408" s="137">
        <v>35</v>
      </c>
      <c r="C408" s="3" t="s">
        <v>437</v>
      </c>
      <c r="D408" s="12"/>
      <c r="E408" s="32"/>
      <c r="F408" s="259">
        <f t="shared" ref="F408:K408" si="103">F261</f>
        <v>884695725.53920007</v>
      </c>
      <c r="G408" s="35">
        <f t="shared" si="103"/>
        <v>518700025.53920001</v>
      </c>
      <c r="H408" s="35">
        <f t="shared" si="103"/>
        <v>47291974</v>
      </c>
      <c r="I408" s="34">
        <f t="shared" si="103"/>
        <v>312050643</v>
      </c>
      <c r="J408" s="146">
        <f t="shared" si="103"/>
        <v>878042642.53920007</v>
      </c>
      <c r="K408" s="146">
        <f t="shared" si="103"/>
        <v>0</v>
      </c>
      <c r="L408" s="298">
        <v>884695725.53920007</v>
      </c>
      <c r="M408" s="308">
        <f t="shared" si="96"/>
        <v>0</v>
      </c>
      <c r="N408" s="85"/>
    </row>
    <row r="409" spans="1:14">
      <c r="A409" s="137">
        <v>36</v>
      </c>
      <c r="C409" s="154" t="s">
        <v>436</v>
      </c>
      <c r="D409" s="12"/>
      <c r="E409" s="32"/>
      <c r="F409" s="259">
        <f t="shared" ref="F409:K409" si="104">F405</f>
        <v>-204323160</v>
      </c>
      <c r="G409" s="35">
        <f t="shared" si="104"/>
        <v>-70398024</v>
      </c>
      <c r="H409" s="35">
        <f t="shared" si="104"/>
        <v>-10015697</v>
      </c>
      <c r="I409" s="34">
        <f t="shared" si="104"/>
        <v>-123909439</v>
      </c>
      <c r="J409" s="146">
        <f t="shared" si="104"/>
        <v>-204323160</v>
      </c>
      <c r="K409" s="146">
        <f t="shared" si="104"/>
        <v>0</v>
      </c>
      <c r="L409" s="298">
        <v>-204323160</v>
      </c>
      <c r="M409" s="308">
        <f t="shared" si="96"/>
        <v>0</v>
      </c>
      <c r="N409" s="85"/>
    </row>
    <row r="410" spans="1:14">
      <c r="A410" s="137">
        <v>37</v>
      </c>
      <c r="C410" s="3" t="s">
        <v>435</v>
      </c>
      <c r="D410" s="12"/>
      <c r="E410" s="32"/>
      <c r="F410" s="260">
        <f t="shared" ref="F410:K410" si="105">SUM(F407:F409)</f>
        <v>680372565.53920007</v>
      </c>
      <c r="G410" s="151">
        <f t="shared" si="105"/>
        <v>448302001.53920001</v>
      </c>
      <c r="H410" s="151">
        <f t="shared" si="105"/>
        <v>37276277</v>
      </c>
      <c r="I410" s="150">
        <f t="shared" si="105"/>
        <v>188141204</v>
      </c>
      <c r="J410" s="5">
        <f t="shared" si="105"/>
        <v>673719482.53920007</v>
      </c>
      <c r="K410" s="5">
        <f t="shared" si="105"/>
        <v>0</v>
      </c>
      <c r="L410" s="307">
        <v>680372565.53920007</v>
      </c>
      <c r="M410" s="308">
        <f t="shared" si="96"/>
        <v>0</v>
      </c>
      <c r="N410" s="85"/>
    </row>
    <row r="411" spans="1:14">
      <c r="A411" s="137">
        <v>38</v>
      </c>
      <c r="D411" s="12"/>
      <c r="E411" s="32"/>
      <c r="F411" s="258"/>
      <c r="G411" s="40"/>
      <c r="H411" s="40"/>
      <c r="I411" s="39"/>
      <c r="M411" s="308">
        <f t="shared" si="96"/>
        <v>0</v>
      </c>
      <c r="N411" s="85"/>
    </row>
    <row r="412" spans="1:14">
      <c r="A412" s="137">
        <v>39</v>
      </c>
      <c r="B412" s="1" t="s">
        <v>432</v>
      </c>
      <c r="D412" s="12"/>
      <c r="E412" s="32"/>
      <c r="F412" s="271">
        <f>$F$795</f>
        <v>7.0830000000000004E-2</v>
      </c>
      <c r="G412" s="233">
        <f>F795</f>
        <v>7.0830000000000004E-2</v>
      </c>
      <c r="H412" s="233">
        <f>F795</f>
        <v>7.0830000000000004E-2</v>
      </c>
      <c r="I412" s="232">
        <f>F795</f>
        <v>7.0830000000000004E-2</v>
      </c>
      <c r="J412" s="149">
        <f>F795</f>
        <v>7.0830000000000004E-2</v>
      </c>
      <c r="K412" s="149">
        <f>F795</f>
        <v>7.0830000000000004E-2</v>
      </c>
      <c r="L412" s="299">
        <v>7.0830000000000004E-2</v>
      </c>
      <c r="M412" s="308">
        <f t="shared" si="96"/>
        <v>0</v>
      </c>
    </row>
    <row r="413" spans="1:14">
      <c r="A413" s="137">
        <v>40</v>
      </c>
      <c r="B413" s="1" t="s">
        <v>434</v>
      </c>
      <c r="D413" s="12"/>
      <c r="E413" s="32"/>
      <c r="F413" s="259">
        <f>ROUND(F412*F410,0)</f>
        <v>48190789</v>
      </c>
      <c r="G413" s="35">
        <f>F413-SUM(H413:I413)</f>
        <v>32224469</v>
      </c>
      <c r="H413" s="35">
        <f>ROUND(H410*H412,0)</f>
        <v>2640279</v>
      </c>
      <c r="I413" s="34">
        <f>ROUND(I410*I412,0)</f>
        <v>13326041</v>
      </c>
      <c r="J413" s="146">
        <f>SUM(G413:I413)</f>
        <v>48190789</v>
      </c>
      <c r="K413" s="146">
        <f>F413-J413</f>
        <v>0</v>
      </c>
      <c r="L413" s="298">
        <v>48190789</v>
      </c>
      <c r="M413" s="308">
        <f t="shared" si="96"/>
        <v>0</v>
      </c>
    </row>
    <row r="414" spans="1:14">
      <c r="A414" s="137">
        <v>41</v>
      </c>
      <c r="D414" s="12"/>
      <c r="E414" s="32"/>
      <c r="F414" s="271"/>
      <c r="G414" s="233"/>
      <c r="H414" s="233"/>
      <c r="I414" s="232"/>
      <c r="J414" s="149"/>
      <c r="K414" s="149"/>
      <c r="L414" s="299"/>
      <c r="M414" s="308">
        <f t="shared" si="96"/>
        <v>0</v>
      </c>
    </row>
    <row r="415" spans="1:14">
      <c r="A415" s="137">
        <v>42</v>
      </c>
      <c r="B415" s="231" t="s">
        <v>433</v>
      </c>
      <c r="D415" s="81" t="s">
        <v>94</v>
      </c>
      <c r="E415" s="32"/>
      <c r="F415" s="261">
        <f>[4]SCH_A!$I$17</f>
        <v>705051140</v>
      </c>
      <c r="G415" s="35">
        <f>F415-SUM(H415:I415)</f>
        <v>464565247</v>
      </c>
      <c r="H415" s="35">
        <f>ROUND(F415*VLOOKUP(D415,ALLOCTABLE_FUNCTIONAL,$H$10,FALSE),0)</f>
        <v>38629752</v>
      </c>
      <c r="I415" s="34">
        <f>ROUND(F415*VLOOKUP(D415,ALLOCTABLE_FUNCTIONAL,$I$10,FALSE),0)</f>
        <v>201856141</v>
      </c>
      <c r="J415" s="146">
        <f>SUM(G415:I415)</f>
        <v>705051140</v>
      </c>
      <c r="K415" s="146">
        <f>F415-J415</f>
        <v>0</v>
      </c>
      <c r="L415" s="300">
        <v>705051140</v>
      </c>
      <c r="M415" s="308">
        <f t="shared" si="96"/>
        <v>0</v>
      </c>
    </row>
    <row r="416" spans="1:14">
      <c r="A416" s="137">
        <v>43</v>
      </c>
      <c r="B416" s="1" t="s">
        <v>432</v>
      </c>
      <c r="D416" s="12"/>
      <c r="E416" s="32"/>
      <c r="F416" s="271">
        <f>RofR</f>
        <v>7.0830000000000004E-2</v>
      </c>
      <c r="G416" s="35">
        <f>RofR</f>
        <v>7.0830000000000004E-2</v>
      </c>
      <c r="H416" s="35">
        <f>RofR</f>
        <v>7.0830000000000004E-2</v>
      </c>
      <c r="I416" s="34">
        <f>RofR</f>
        <v>7.0830000000000004E-2</v>
      </c>
      <c r="J416" s="149">
        <f>RofR</f>
        <v>7.0830000000000004E-2</v>
      </c>
      <c r="K416" s="149"/>
      <c r="L416" s="299">
        <v>7.0830000000000004E-2</v>
      </c>
      <c r="M416" s="308">
        <f t="shared" si="96"/>
        <v>0</v>
      </c>
    </row>
    <row r="417" spans="1:13">
      <c r="A417" s="137">
        <v>44</v>
      </c>
      <c r="B417" s="1" t="s">
        <v>232</v>
      </c>
      <c r="D417" s="3"/>
      <c r="F417" s="272">
        <f>ROUND(F415*F416,0)</f>
        <v>49938772</v>
      </c>
      <c r="G417" s="209">
        <f>F417-H417-I417</f>
        <v>32905157</v>
      </c>
      <c r="H417" s="209">
        <f>ROUND(H415*H416,0)</f>
        <v>2736145</v>
      </c>
      <c r="I417" s="208">
        <f>ROUND(I415*I416,0)</f>
        <v>14297470</v>
      </c>
      <c r="J417" s="5">
        <f>ROUND(J415*J416,0)</f>
        <v>49938772</v>
      </c>
      <c r="K417" s="5">
        <f>F417-J417</f>
        <v>0</v>
      </c>
      <c r="L417" s="314">
        <v>49938772</v>
      </c>
      <c r="M417" s="308">
        <f t="shared" si="96"/>
        <v>0</v>
      </c>
    </row>
    <row r="418" spans="1:13">
      <c r="B418" s="67"/>
      <c r="C418" s="32"/>
      <c r="D418" s="12"/>
      <c r="E418" s="32"/>
      <c r="F418" s="255"/>
      <c r="G418" s="27"/>
      <c r="H418" s="27"/>
      <c r="I418" s="27"/>
      <c r="J418" s="27"/>
      <c r="K418" s="27"/>
      <c r="L418" s="253"/>
      <c r="M418" s="308">
        <f t="shared" si="96"/>
        <v>0</v>
      </c>
    </row>
    <row r="419" spans="1:13">
      <c r="A419" s="67" t="str">
        <f>co_name</f>
        <v>DUKE ENERGY KENTUCKY, INC.</v>
      </c>
      <c r="C419" s="32"/>
      <c r="D419" s="12"/>
      <c r="E419" s="32"/>
      <c r="F419" s="255"/>
      <c r="G419" s="27"/>
      <c r="H419" s="27"/>
      <c r="I419" s="27"/>
      <c r="J419" s="27" t="str">
        <f>J1</f>
        <v>FR-16(7)(v)-1</v>
      </c>
      <c r="K419" s="27"/>
      <c r="L419" s="253"/>
      <c r="M419" s="308">
        <f t="shared" si="96"/>
        <v>0</v>
      </c>
    </row>
    <row r="420" spans="1:13">
      <c r="A420" s="67" t="str">
        <f>$A$2</f>
        <v>FUNCTIONAL ELECTRIC COST OF SERVICE</v>
      </c>
      <c r="C420" s="32"/>
      <c r="D420" s="12"/>
      <c r="E420" s="32"/>
      <c r="F420" s="255"/>
      <c r="G420" s="27"/>
      <c r="H420" s="27"/>
      <c r="I420" s="27"/>
      <c r="J420" s="27" t="str">
        <f>J2</f>
        <v>WITNESS RESPONSIBLE:</v>
      </c>
      <c r="K420" s="27"/>
      <c r="L420" s="253"/>
      <c r="M420" s="308">
        <f t="shared" si="96"/>
        <v>0</v>
      </c>
    </row>
    <row r="421" spans="1:13">
      <c r="A421" s="67" t="str">
        <f>case_name</f>
        <v>CASE NO: 2017-00321</v>
      </c>
      <c r="C421" s="32"/>
      <c r="D421" s="12"/>
      <c r="E421" s="32"/>
      <c r="F421" s="255"/>
      <c r="G421" s="27"/>
      <c r="H421" s="27"/>
      <c r="I421" s="27"/>
      <c r="J421" s="27" t="str">
        <f>Witness</f>
        <v>JAMES E. ZIOLKOWSKI</v>
      </c>
      <c r="K421" s="27"/>
      <c r="L421" s="253"/>
      <c r="M421" s="308">
        <f t="shared" si="96"/>
        <v>0</v>
      </c>
    </row>
    <row r="422" spans="1:13">
      <c r="A422" s="67" t="str">
        <f>data_filing</f>
        <v>DATA: 12 MONTHS ACTUAL  &amp; 0 MONTHS ESTIMATED</v>
      </c>
      <c r="C422" s="32"/>
      <c r="D422" s="12"/>
      <c r="E422" s="32"/>
      <c r="F422" s="255"/>
      <c r="G422" s="27"/>
      <c r="H422" s="27"/>
      <c r="I422" s="27"/>
      <c r="J422" s="27" t="str">
        <f>"PAGE "&amp;Pages-10&amp;" OF "&amp;Pages</f>
        <v>PAGE 8 OF 18</v>
      </c>
      <c r="K422" s="27"/>
      <c r="L422" s="253"/>
      <c r="M422" s="308">
        <f t="shared" si="96"/>
        <v>0</v>
      </c>
    </row>
    <row r="423" spans="1:13">
      <c r="A423" s="67" t="str">
        <f>type</f>
        <v xml:space="preserve">TYPE OF FILING: "X" ORIGINAL   UPDATED    REVISED  </v>
      </c>
      <c r="C423" s="32"/>
      <c r="D423" s="12"/>
      <c r="E423" s="32"/>
      <c r="F423" s="255"/>
      <c r="G423" s="27"/>
      <c r="H423" s="27"/>
      <c r="I423" s="27"/>
      <c r="J423" s="27"/>
      <c r="K423" s="27"/>
      <c r="L423" s="253"/>
      <c r="M423" s="308">
        <f t="shared" si="96"/>
        <v>0</v>
      </c>
    </row>
    <row r="424" spans="1:13">
      <c r="B424" s="67"/>
      <c r="C424" s="32"/>
      <c r="D424" s="12"/>
      <c r="E424" s="32"/>
      <c r="F424" s="255"/>
      <c r="G424" s="27"/>
      <c r="H424" s="27"/>
      <c r="I424" s="27"/>
      <c r="J424" s="27"/>
      <c r="K424" s="27"/>
      <c r="L424" s="253"/>
      <c r="M424" s="308">
        <f t="shared" si="96"/>
        <v>0</v>
      </c>
    </row>
    <row r="425" spans="1:13">
      <c r="B425" s="67"/>
      <c r="C425" s="32"/>
      <c r="D425" s="12"/>
      <c r="E425" s="32"/>
      <c r="F425" s="255"/>
      <c r="G425" s="27"/>
      <c r="H425" s="27"/>
      <c r="I425" s="27"/>
      <c r="J425" s="27"/>
      <c r="K425" s="27"/>
      <c r="L425" s="253"/>
      <c r="M425" s="308">
        <f t="shared" si="96"/>
        <v>0</v>
      </c>
    </row>
    <row r="426" spans="1:13">
      <c r="A426" s="8" t="s">
        <v>91</v>
      </c>
      <c r="B426" s="27"/>
      <c r="C426" s="32"/>
      <c r="D426" s="12"/>
      <c r="E426" s="32"/>
      <c r="F426" s="256" t="s">
        <v>1</v>
      </c>
      <c r="G426" s="65" t="s">
        <v>90</v>
      </c>
      <c r="H426" s="65"/>
      <c r="I426" s="64"/>
      <c r="J426" s="8" t="s">
        <v>1</v>
      </c>
      <c r="K426" s="8" t="s">
        <v>89</v>
      </c>
      <c r="L426" s="284" t="s">
        <v>1</v>
      </c>
      <c r="M426" s="308" t="e">
        <f t="shared" si="96"/>
        <v>#VALUE!</v>
      </c>
    </row>
    <row r="427" spans="1:13">
      <c r="A427" s="57" t="s">
        <v>88</v>
      </c>
      <c r="B427" s="145" t="s">
        <v>380</v>
      </c>
      <c r="C427" s="62"/>
      <c r="D427" s="56" t="s">
        <v>85</v>
      </c>
      <c r="E427" s="62"/>
      <c r="F427" s="264" t="str">
        <f>$F$9</f>
        <v>ELECTRIC</v>
      </c>
      <c r="G427" s="59" t="str">
        <f t="shared" ref="G427:I428" si="106">G9</f>
        <v>PRODUCTION</v>
      </c>
      <c r="H427" s="59" t="str">
        <f t="shared" si="106"/>
        <v>TRANSMISSION</v>
      </c>
      <c r="I427" s="58" t="str">
        <f t="shared" si="106"/>
        <v>DISTRIBUTION</v>
      </c>
      <c r="J427" s="57" t="s">
        <v>84</v>
      </c>
      <c r="K427" s="57" t="s">
        <v>83</v>
      </c>
      <c r="L427" s="285" t="s">
        <v>82</v>
      </c>
      <c r="M427" s="308" t="e">
        <f t="shared" si="96"/>
        <v>#VALUE!</v>
      </c>
    </row>
    <row r="428" spans="1:13">
      <c r="C428" s="144" t="s">
        <v>431</v>
      </c>
      <c r="D428" s="12"/>
      <c r="E428" s="32"/>
      <c r="F428" s="258"/>
      <c r="G428" s="53">
        <f t="shared" si="106"/>
        <v>3</v>
      </c>
      <c r="H428" s="53">
        <f t="shared" si="106"/>
        <v>4</v>
      </c>
      <c r="I428" s="52">
        <f t="shared" si="106"/>
        <v>5</v>
      </c>
      <c r="M428" s="308">
        <f t="shared" si="96"/>
        <v>0</v>
      </c>
    </row>
    <row r="429" spans="1:13">
      <c r="A429" s="137">
        <v>1</v>
      </c>
      <c r="B429" s="1" t="s">
        <v>430</v>
      </c>
      <c r="D429" s="12"/>
      <c r="E429" s="32"/>
      <c r="F429" s="258"/>
      <c r="G429" s="40"/>
      <c r="H429" s="40"/>
      <c r="I429" s="39"/>
      <c r="M429" s="308">
        <f t="shared" si="96"/>
        <v>0</v>
      </c>
    </row>
    <row r="430" spans="1:13">
      <c r="A430" s="137">
        <v>2</v>
      </c>
      <c r="B430" s="1" t="s">
        <v>429</v>
      </c>
      <c r="D430" s="12"/>
      <c r="E430" s="32"/>
      <c r="F430" s="258"/>
      <c r="G430" s="40"/>
      <c r="H430" s="40"/>
      <c r="I430" s="39"/>
      <c r="M430" s="308">
        <f t="shared" si="96"/>
        <v>0</v>
      </c>
    </row>
    <row r="431" spans="1:13">
      <c r="A431" s="137">
        <v>3</v>
      </c>
      <c r="C431" s="37" t="s">
        <v>428</v>
      </c>
      <c r="D431" s="81" t="s">
        <v>156</v>
      </c>
      <c r="E431" s="32"/>
      <c r="F431" s="262">
        <v>0</v>
      </c>
      <c r="G431" s="35">
        <f t="shared" ref="G431:G436" si="107">F431-SUM(H431:I431)</f>
        <v>0</v>
      </c>
      <c r="H431" s="35">
        <f t="shared" ref="H431:H436" si="108">ROUND(F431*VLOOKUP(D431,ALLOCTABLE_FUNCTIONAL,$H$10,FALSE),0)</f>
        <v>0</v>
      </c>
      <c r="I431" s="34">
        <f t="shared" ref="I431:I436" si="109">ROUND(F431*VLOOKUP(D431,ALLOCTABLE_FUNCTIONAL,$I$10,FALSE),0)</f>
        <v>0</v>
      </c>
      <c r="J431" s="146">
        <f t="shared" ref="J431:J436" si="110">SUM(G431:I431)</f>
        <v>0</v>
      </c>
      <c r="K431" s="146">
        <f t="shared" ref="K431:K436" si="111">F431-J431</f>
        <v>0</v>
      </c>
      <c r="L431" s="287">
        <v>0</v>
      </c>
      <c r="M431" s="308">
        <f t="shared" si="96"/>
        <v>0</v>
      </c>
    </row>
    <row r="432" spans="1:13">
      <c r="A432" s="137">
        <v>4</v>
      </c>
      <c r="C432" s="37" t="s">
        <v>427</v>
      </c>
      <c r="D432" s="81" t="s">
        <v>156</v>
      </c>
      <c r="E432" s="32"/>
      <c r="F432" s="262">
        <f>[4]SCH_C2!$N$25</f>
        <v>106892466.40000001</v>
      </c>
      <c r="G432" s="35">
        <f t="shared" si="107"/>
        <v>106892466.40000001</v>
      </c>
      <c r="H432" s="35">
        <f t="shared" si="108"/>
        <v>0</v>
      </c>
      <c r="I432" s="34">
        <f t="shared" si="109"/>
        <v>0</v>
      </c>
      <c r="J432" s="146">
        <f t="shared" si="110"/>
        <v>106892466.40000001</v>
      </c>
      <c r="K432" s="146">
        <f t="shared" si="111"/>
        <v>0</v>
      </c>
      <c r="L432" s="287">
        <v>106892466.40000001</v>
      </c>
      <c r="M432" s="308">
        <f t="shared" si="96"/>
        <v>0</v>
      </c>
    </row>
    <row r="433" spans="1:13">
      <c r="A433" s="137">
        <v>5</v>
      </c>
      <c r="C433" s="37" t="s">
        <v>426</v>
      </c>
      <c r="D433" s="81" t="s">
        <v>7</v>
      </c>
      <c r="E433" s="32"/>
      <c r="F433" s="262">
        <v>0</v>
      </c>
      <c r="G433" s="35">
        <f t="shared" si="107"/>
        <v>0</v>
      </c>
      <c r="H433" s="35">
        <f t="shared" si="108"/>
        <v>0</v>
      </c>
      <c r="I433" s="34">
        <f t="shared" si="109"/>
        <v>0</v>
      </c>
      <c r="J433" s="146">
        <f t="shared" si="110"/>
        <v>0</v>
      </c>
      <c r="K433" s="146">
        <f t="shared" si="111"/>
        <v>0</v>
      </c>
      <c r="L433" s="287">
        <v>0</v>
      </c>
      <c r="M433" s="308">
        <f t="shared" si="96"/>
        <v>0</v>
      </c>
    </row>
    <row r="434" spans="1:13">
      <c r="A434" s="137">
        <v>6</v>
      </c>
      <c r="C434" s="37" t="s">
        <v>425</v>
      </c>
      <c r="D434" s="81" t="s">
        <v>7</v>
      </c>
      <c r="E434" s="32"/>
      <c r="F434" s="262">
        <v>0</v>
      </c>
      <c r="G434" s="35">
        <f t="shared" si="107"/>
        <v>0</v>
      </c>
      <c r="H434" s="35">
        <f t="shared" si="108"/>
        <v>0</v>
      </c>
      <c r="I434" s="34">
        <f t="shared" si="109"/>
        <v>0</v>
      </c>
      <c r="J434" s="146">
        <f t="shared" si="110"/>
        <v>0</v>
      </c>
      <c r="K434" s="146">
        <f t="shared" si="111"/>
        <v>0</v>
      </c>
      <c r="L434" s="287">
        <v>0</v>
      </c>
      <c r="M434" s="308">
        <f t="shared" si="96"/>
        <v>0</v>
      </c>
    </row>
    <row r="435" spans="1:13">
      <c r="A435" s="137">
        <v>7</v>
      </c>
      <c r="C435" s="37" t="s">
        <v>424</v>
      </c>
      <c r="D435" s="81" t="s">
        <v>7</v>
      </c>
      <c r="E435" s="32"/>
      <c r="F435" s="262">
        <f>[4]SCH_C2!$N$26</f>
        <v>48247780.600000001</v>
      </c>
      <c r="G435" s="35">
        <f t="shared" si="107"/>
        <v>48247780.600000001</v>
      </c>
      <c r="H435" s="35">
        <f t="shared" si="108"/>
        <v>0</v>
      </c>
      <c r="I435" s="34">
        <f t="shared" si="109"/>
        <v>0</v>
      </c>
      <c r="J435" s="146">
        <f t="shared" si="110"/>
        <v>48247780.600000001</v>
      </c>
      <c r="K435" s="146">
        <f t="shared" si="111"/>
        <v>0</v>
      </c>
      <c r="L435" s="287">
        <v>48247780.600000001</v>
      </c>
      <c r="M435" s="308">
        <f t="shared" si="96"/>
        <v>0</v>
      </c>
    </row>
    <row r="436" spans="1:13">
      <c r="A436" s="137">
        <v>8</v>
      </c>
      <c r="C436" s="217" t="s">
        <v>423</v>
      </c>
      <c r="D436" s="81" t="s">
        <v>7</v>
      </c>
      <c r="E436" s="32"/>
      <c r="F436" s="262">
        <v>0</v>
      </c>
      <c r="G436" s="35">
        <f t="shared" si="107"/>
        <v>0</v>
      </c>
      <c r="H436" s="35">
        <f t="shared" si="108"/>
        <v>0</v>
      </c>
      <c r="I436" s="34">
        <f t="shared" si="109"/>
        <v>0</v>
      </c>
      <c r="J436" s="146">
        <f t="shared" si="110"/>
        <v>0</v>
      </c>
      <c r="K436" s="146">
        <f t="shared" si="111"/>
        <v>0</v>
      </c>
      <c r="L436" s="287">
        <v>0</v>
      </c>
      <c r="M436" s="308">
        <f t="shared" si="96"/>
        <v>0</v>
      </c>
    </row>
    <row r="437" spans="1:13">
      <c r="A437" s="137">
        <v>9</v>
      </c>
      <c r="C437" s="3" t="s">
        <v>422</v>
      </c>
      <c r="D437" s="81"/>
      <c r="E437" s="32"/>
      <c r="F437" s="260">
        <f t="shared" ref="F437:K437" si="112">SUM(F431:F436)</f>
        <v>155140247</v>
      </c>
      <c r="G437" s="151">
        <f t="shared" si="112"/>
        <v>155140247</v>
      </c>
      <c r="H437" s="151">
        <f t="shared" si="112"/>
        <v>0</v>
      </c>
      <c r="I437" s="150">
        <f t="shared" si="112"/>
        <v>0</v>
      </c>
      <c r="J437" s="5">
        <f t="shared" si="112"/>
        <v>155140247</v>
      </c>
      <c r="K437" s="5">
        <f t="shared" si="112"/>
        <v>0</v>
      </c>
      <c r="L437" s="307">
        <v>155140247</v>
      </c>
      <c r="M437" s="308">
        <f t="shared" si="96"/>
        <v>0</v>
      </c>
    </row>
    <row r="438" spans="1:13">
      <c r="A438" s="137">
        <v>10</v>
      </c>
      <c r="D438" s="81"/>
      <c r="E438" s="32"/>
      <c r="F438" s="261"/>
      <c r="G438" s="40"/>
      <c r="H438" s="40"/>
      <c r="I438" s="39"/>
      <c r="L438" s="300"/>
      <c r="M438" s="308">
        <f t="shared" si="96"/>
        <v>0</v>
      </c>
    </row>
    <row r="439" spans="1:13">
      <c r="A439" s="137">
        <v>11</v>
      </c>
      <c r="B439" s="1" t="s">
        <v>421</v>
      </c>
      <c r="D439" s="81"/>
      <c r="E439" s="32"/>
      <c r="F439" s="261"/>
      <c r="G439" s="40"/>
      <c r="H439" s="40"/>
      <c r="I439" s="39"/>
      <c r="L439" s="300"/>
      <c r="M439" s="308">
        <f t="shared" si="96"/>
        <v>0</v>
      </c>
    </row>
    <row r="440" spans="1:13">
      <c r="A440" s="137">
        <v>12</v>
      </c>
      <c r="C440" s="217" t="s">
        <v>420</v>
      </c>
      <c r="D440" s="81" t="s">
        <v>190</v>
      </c>
      <c r="E440" s="32"/>
      <c r="F440" s="262">
        <v>0</v>
      </c>
      <c r="G440" s="35">
        <f>F440-SUM(H440:I440)</f>
        <v>0</v>
      </c>
      <c r="H440" s="35">
        <f>ROUND(F440*VLOOKUP(D440,ALLOCTABLE_FUNCTIONAL,$H$10,FALSE),0)</f>
        <v>0</v>
      </c>
      <c r="I440" s="34">
        <f>ROUND(F440*VLOOKUP(D440,ALLOCTABLE_FUNCTIONAL,$I$10,FALSE),0)</f>
        <v>0</v>
      </c>
      <c r="J440" s="146">
        <f>SUM(G440:I440)</f>
        <v>0</v>
      </c>
      <c r="K440" s="146">
        <f>F440-J440</f>
        <v>0</v>
      </c>
      <c r="L440" s="287">
        <v>0</v>
      </c>
      <c r="M440" s="308">
        <f t="shared" si="96"/>
        <v>0</v>
      </c>
    </row>
    <row r="441" spans="1:13">
      <c r="A441" s="137">
        <v>13</v>
      </c>
      <c r="C441" s="3" t="s">
        <v>419</v>
      </c>
      <c r="D441" s="81"/>
      <c r="E441" s="32"/>
      <c r="F441" s="260">
        <f t="shared" ref="F441:K441" si="113">SUM(F439:F440)</f>
        <v>0</v>
      </c>
      <c r="G441" s="151">
        <f t="shared" si="113"/>
        <v>0</v>
      </c>
      <c r="H441" s="151">
        <f t="shared" si="113"/>
        <v>0</v>
      </c>
      <c r="I441" s="150">
        <f t="shared" si="113"/>
        <v>0</v>
      </c>
      <c r="J441" s="5">
        <f t="shared" si="113"/>
        <v>0</v>
      </c>
      <c r="K441" s="5">
        <f t="shared" si="113"/>
        <v>0</v>
      </c>
      <c r="L441" s="307">
        <v>0</v>
      </c>
      <c r="M441" s="308">
        <f t="shared" si="96"/>
        <v>0</v>
      </c>
    </row>
    <row r="442" spans="1:13">
      <c r="A442" s="137">
        <v>14</v>
      </c>
      <c r="D442" s="81"/>
      <c r="E442" s="32"/>
      <c r="F442" s="259"/>
      <c r="G442" s="35"/>
      <c r="H442" s="35"/>
      <c r="I442" s="34"/>
      <c r="J442" s="146"/>
      <c r="K442" s="146"/>
      <c r="L442" s="298"/>
      <c r="M442" s="308">
        <f t="shared" si="96"/>
        <v>0</v>
      </c>
    </row>
    <row r="443" spans="1:13">
      <c r="A443" s="137">
        <v>15</v>
      </c>
      <c r="B443" s="1" t="s">
        <v>418</v>
      </c>
      <c r="D443" s="81"/>
      <c r="E443" s="32" t="s">
        <v>3</v>
      </c>
      <c r="F443" s="259">
        <f t="shared" ref="F443:K443" si="114">F441+F437</f>
        <v>155140247</v>
      </c>
      <c r="G443" s="35">
        <f t="shared" si="114"/>
        <v>155140247</v>
      </c>
      <c r="H443" s="35">
        <f t="shared" si="114"/>
        <v>0</v>
      </c>
      <c r="I443" s="34">
        <f t="shared" si="114"/>
        <v>0</v>
      </c>
      <c r="J443" s="146">
        <f t="shared" si="114"/>
        <v>155140247</v>
      </c>
      <c r="K443" s="146">
        <f t="shared" si="114"/>
        <v>0</v>
      </c>
      <c r="L443" s="298">
        <v>155140247</v>
      </c>
      <c r="M443" s="308">
        <f t="shared" si="96"/>
        <v>0</v>
      </c>
    </row>
    <row r="444" spans="1:13">
      <c r="A444" s="137">
        <v>16</v>
      </c>
      <c r="D444" s="81"/>
      <c r="E444" s="32"/>
      <c r="F444" s="261"/>
      <c r="G444" s="40"/>
      <c r="H444" s="40"/>
      <c r="I444" s="39"/>
      <c r="L444" s="300"/>
      <c r="M444" s="308">
        <f t="shared" si="96"/>
        <v>0</v>
      </c>
    </row>
    <row r="445" spans="1:13">
      <c r="A445" s="137">
        <v>17</v>
      </c>
      <c r="B445" s="1" t="s">
        <v>417</v>
      </c>
      <c r="D445" s="81"/>
      <c r="E445" s="32"/>
      <c r="F445" s="261"/>
      <c r="G445" s="40"/>
      <c r="H445" s="40"/>
      <c r="I445" s="39"/>
      <c r="L445" s="300"/>
      <c r="M445" s="308">
        <f t="shared" si="96"/>
        <v>0</v>
      </c>
    </row>
    <row r="446" spans="1:13">
      <c r="A446" s="137">
        <v>18</v>
      </c>
      <c r="C446" s="223" t="s">
        <v>416</v>
      </c>
      <c r="D446" s="81" t="s">
        <v>188</v>
      </c>
      <c r="E446" s="32"/>
      <c r="F446" s="262">
        <v>0</v>
      </c>
      <c r="G446" s="35">
        <f>F446-SUM(H446:I446)</f>
        <v>0</v>
      </c>
      <c r="H446" s="35">
        <f>ROUND(F446*VLOOKUP(D446,ALLOCTABLE_FUNCTIONAL,$H$10,FALSE),0)</f>
        <v>0</v>
      </c>
      <c r="I446" s="34">
        <f>ROUND(F446*VLOOKUP(D446,ALLOCTABLE_FUNCTIONAL,$I$10,FALSE),0)</f>
        <v>0</v>
      </c>
      <c r="J446" s="146">
        <f>SUM(G446:I446)</f>
        <v>0</v>
      </c>
      <c r="K446" s="146">
        <f>F446-J446</f>
        <v>0</v>
      </c>
      <c r="L446" s="287">
        <v>0</v>
      </c>
      <c r="M446" s="308">
        <f t="shared" si="96"/>
        <v>0</v>
      </c>
    </row>
    <row r="447" spans="1:13">
      <c r="A447" s="137">
        <v>19</v>
      </c>
      <c r="C447" s="223" t="s">
        <v>415</v>
      </c>
      <c r="D447" s="81" t="s">
        <v>188</v>
      </c>
      <c r="E447" s="32"/>
      <c r="F447" s="262">
        <f>[4]SCH_C2!$N$29</f>
        <v>19932973</v>
      </c>
      <c r="G447" s="35">
        <f>F447-SUM(H447:I447)</f>
        <v>0</v>
      </c>
      <c r="H447" s="35">
        <f>ROUND(F447*VLOOKUP(D447,ALLOCTABLE_FUNCTIONAL,$H$10,FALSE),0)</f>
        <v>19932973</v>
      </c>
      <c r="I447" s="34">
        <f>ROUND(F447*VLOOKUP(D447,ALLOCTABLE_FUNCTIONAL,$I$10,FALSE),0)</f>
        <v>0</v>
      </c>
      <c r="J447" s="146">
        <f>SUM(G447:I447)</f>
        <v>19932973</v>
      </c>
      <c r="K447" s="146">
        <f>F447-J447</f>
        <v>0</v>
      </c>
      <c r="L447" s="287">
        <v>19932973</v>
      </c>
      <c r="M447" s="308">
        <f t="shared" si="96"/>
        <v>0</v>
      </c>
    </row>
    <row r="448" spans="1:13">
      <c r="A448" s="137">
        <v>20</v>
      </c>
      <c r="C448" s="223" t="s">
        <v>414</v>
      </c>
      <c r="D448" s="81" t="s">
        <v>188</v>
      </c>
      <c r="E448" s="32"/>
      <c r="F448" s="262">
        <v>0</v>
      </c>
      <c r="G448" s="35">
        <f>F448-SUM(H448:I448)</f>
        <v>0</v>
      </c>
      <c r="H448" s="35">
        <f>ROUND(F448*VLOOKUP(D448,ALLOCTABLE_FUNCTIONAL,$H$10,FALSE),0)</f>
        <v>0</v>
      </c>
      <c r="I448" s="34">
        <f>ROUND(F448*VLOOKUP(D448,ALLOCTABLE_FUNCTIONAL,$I$10,FALSE),0)</f>
        <v>0</v>
      </c>
      <c r="J448" s="146">
        <f>SUM(G448:I448)</f>
        <v>0</v>
      </c>
      <c r="K448" s="146">
        <f>F448-J448</f>
        <v>0</v>
      </c>
      <c r="L448" s="287">
        <v>0</v>
      </c>
      <c r="M448" s="308">
        <f t="shared" si="96"/>
        <v>0</v>
      </c>
    </row>
    <row r="449" spans="1:13">
      <c r="A449" s="137">
        <v>21</v>
      </c>
      <c r="C449" s="223" t="s">
        <v>413</v>
      </c>
      <c r="D449" s="81" t="s">
        <v>188</v>
      </c>
      <c r="E449" s="32"/>
      <c r="F449" s="262">
        <v>0</v>
      </c>
      <c r="G449" s="35">
        <f>F449-SUM(H449:I449)</f>
        <v>0</v>
      </c>
      <c r="H449" s="35">
        <f>ROUND(F449*VLOOKUP(D449,ALLOCTABLE_FUNCTIONAL,$H$10,FALSE),0)</f>
        <v>0</v>
      </c>
      <c r="I449" s="34">
        <f>ROUND(F449*VLOOKUP(D449,ALLOCTABLE_FUNCTIONAL,$I$10,FALSE),0)</f>
        <v>0</v>
      </c>
      <c r="J449" s="146">
        <f>SUM(G449:I449)</f>
        <v>0</v>
      </c>
      <c r="K449" s="146">
        <f>F449-J449</f>
        <v>0</v>
      </c>
      <c r="L449" s="287">
        <v>0</v>
      </c>
      <c r="M449" s="308">
        <f t="shared" si="96"/>
        <v>0</v>
      </c>
    </row>
    <row r="450" spans="1:13">
      <c r="A450" s="137">
        <v>22</v>
      </c>
      <c r="C450" s="152" t="s">
        <v>412</v>
      </c>
      <c r="D450" s="81"/>
      <c r="E450" s="32"/>
      <c r="F450" s="260">
        <f t="shared" ref="F450:K450" si="115">SUM(F446:F449)</f>
        <v>19932973</v>
      </c>
      <c r="G450" s="151">
        <f t="shared" si="115"/>
        <v>0</v>
      </c>
      <c r="H450" s="151">
        <f t="shared" si="115"/>
        <v>19932973</v>
      </c>
      <c r="I450" s="150">
        <f t="shared" si="115"/>
        <v>0</v>
      </c>
      <c r="J450" s="5">
        <f t="shared" si="115"/>
        <v>19932973</v>
      </c>
      <c r="K450" s="5">
        <f t="shared" si="115"/>
        <v>0</v>
      </c>
      <c r="L450" s="307">
        <v>19932973</v>
      </c>
      <c r="M450" s="308">
        <f t="shared" si="96"/>
        <v>0</v>
      </c>
    </row>
    <row r="451" spans="1:13">
      <c r="A451" s="137">
        <v>23</v>
      </c>
      <c r="D451" s="81"/>
      <c r="E451" s="32"/>
      <c r="F451" s="261"/>
      <c r="G451" s="40"/>
      <c r="H451" s="40"/>
      <c r="I451" s="39"/>
      <c r="L451" s="300"/>
      <c r="M451" s="308">
        <f t="shared" si="96"/>
        <v>0</v>
      </c>
    </row>
    <row r="452" spans="1:13">
      <c r="A452" s="137">
        <v>24</v>
      </c>
      <c r="B452" s="1" t="s">
        <v>411</v>
      </c>
      <c r="D452" s="81"/>
      <c r="E452" s="32"/>
      <c r="F452" s="261"/>
      <c r="G452" s="40"/>
      <c r="H452" s="40"/>
      <c r="I452" s="39"/>
      <c r="L452" s="300"/>
      <c r="M452" s="308">
        <f t="shared" si="96"/>
        <v>0</v>
      </c>
    </row>
    <row r="453" spans="1:13">
      <c r="A453" s="137">
        <v>25</v>
      </c>
      <c r="C453" s="37" t="s">
        <v>410</v>
      </c>
      <c r="D453" s="81" t="s">
        <v>188</v>
      </c>
      <c r="E453" s="32"/>
      <c r="F453" s="262">
        <f>'[4]SCH_C2.1 - Forecasted Period'!$J$170</f>
        <v>1716657</v>
      </c>
      <c r="G453" s="35">
        <f>F453-SUM(H453:I453)</f>
        <v>0</v>
      </c>
      <c r="H453" s="35">
        <f>ROUND(F453*VLOOKUP(D453,ALLOCTABLE_FUNCTIONAL,$H$10,FALSE),0)</f>
        <v>1716657</v>
      </c>
      <c r="I453" s="34">
        <f>ROUND(F453*VLOOKUP(D453,ALLOCTABLE_FUNCTIONAL,$I$10,FALSE),0)</f>
        <v>0</v>
      </c>
      <c r="J453" s="146">
        <f>SUM(G453:I453)</f>
        <v>1716657</v>
      </c>
      <c r="K453" s="146">
        <f>F453-J453</f>
        <v>0</v>
      </c>
      <c r="L453" s="287">
        <v>1716657</v>
      </c>
      <c r="M453" s="308">
        <f t="shared" si="96"/>
        <v>0</v>
      </c>
    </row>
    <row r="454" spans="1:13">
      <c r="A454" s="137">
        <v>26</v>
      </c>
      <c r="C454" s="152" t="s">
        <v>409</v>
      </c>
      <c r="D454" s="81"/>
      <c r="E454" s="32"/>
      <c r="F454" s="260">
        <f t="shared" ref="F454:K454" si="116">SUM(F452:F453)</f>
        <v>1716657</v>
      </c>
      <c r="G454" s="151">
        <f t="shared" si="116"/>
        <v>0</v>
      </c>
      <c r="H454" s="151">
        <f t="shared" si="116"/>
        <v>1716657</v>
      </c>
      <c r="I454" s="150">
        <f t="shared" si="116"/>
        <v>0</v>
      </c>
      <c r="J454" s="5">
        <f t="shared" si="116"/>
        <v>1716657</v>
      </c>
      <c r="K454" s="5">
        <f t="shared" si="116"/>
        <v>0</v>
      </c>
      <c r="L454" s="307">
        <v>1716657</v>
      </c>
      <c r="M454" s="308">
        <f t="shared" si="96"/>
        <v>0</v>
      </c>
    </row>
    <row r="455" spans="1:13">
      <c r="A455" s="137">
        <v>27</v>
      </c>
      <c r="D455" s="81"/>
      <c r="E455" s="32"/>
      <c r="F455" s="261"/>
      <c r="G455" s="40"/>
      <c r="H455" s="40"/>
      <c r="I455" s="39"/>
      <c r="L455" s="300"/>
      <c r="M455" s="308">
        <f t="shared" si="96"/>
        <v>0</v>
      </c>
    </row>
    <row r="456" spans="1:13">
      <c r="A456" s="137">
        <v>28</v>
      </c>
      <c r="B456" s="1" t="s">
        <v>408</v>
      </c>
      <c r="D456" s="81"/>
      <c r="E456" s="32"/>
      <c r="F456" s="261"/>
      <c r="G456" s="40"/>
      <c r="H456" s="40"/>
      <c r="I456" s="39"/>
      <c r="L456" s="300"/>
      <c r="M456" s="308">
        <f t="shared" si="96"/>
        <v>0</v>
      </c>
    </row>
    <row r="457" spans="1:13">
      <c r="A457" s="137">
        <v>29</v>
      </c>
      <c r="C457" s="37" t="s">
        <v>407</v>
      </c>
      <c r="D457" s="81" t="s">
        <v>190</v>
      </c>
      <c r="E457" s="32"/>
      <c r="F457" s="265">
        <f>'[4]SCH_C2.1 - Forecasted Period'!$J$177+'[4]SCH_C2.1 - Forecasted Period'!$J$191</f>
        <v>556330</v>
      </c>
      <c r="G457" s="35">
        <f t="shared" ref="G457:G475" si="117">F457-SUM(H457:I457)</f>
        <v>556330</v>
      </c>
      <c r="H457" s="35">
        <f t="shared" ref="H457:H475" si="118">ROUND(F457*VLOOKUP(D457,ALLOCTABLE_FUNCTIONAL,$H$10,FALSE),0)</f>
        <v>0</v>
      </c>
      <c r="I457" s="34">
        <f t="shared" ref="I457:I475" si="119">ROUND(F457*VLOOKUP(D457,ALLOCTABLE_FUNCTIONAL,$I$10,FALSE),0)</f>
        <v>0</v>
      </c>
      <c r="J457" s="146">
        <f t="shared" ref="J457:J475" si="120">SUM(G457:I457)</f>
        <v>556330</v>
      </c>
      <c r="K457" s="146">
        <f t="shared" ref="K457:K475" si="121">F457-J457</f>
        <v>0</v>
      </c>
      <c r="L457" s="306">
        <v>556330</v>
      </c>
      <c r="M457" s="308">
        <f t="shared" si="96"/>
        <v>0</v>
      </c>
    </row>
    <row r="458" spans="1:13">
      <c r="A458" s="137">
        <v>30</v>
      </c>
      <c r="C458" s="37" t="s">
        <v>406</v>
      </c>
      <c r="D458" s="81" t="s">
        <v>119</v>
      </c>
      <c r="E458" s="32"/>
      <c r="F458" s="265"/>
      <c r="G458" s="35">
        <f t="shared" si="117"/>
        <v>0</v>
      </c>
      <c r="H458" s="35">
        <f t="shared" si="118"/>
        <v>0</v>
      </c>
      <c r="I458" s="34">
        <f t="shared" si="119"/>
        <v>0</v>
      </c>
      <c r="J458" s="146">
        <f t="shared" si="120"/>
        <v>0</v>
      </c>
      <c r="K458" s="146">
        <f t="shared" si="121"/>
        <v>0</v>
      </c>
      <c r="L458" s="306"/>
      <c r="M458" s="308">
        <f t="shared" si="96"/>
        <v>0</v>
      </c>
    </row>
    <row r="459" spans="1:13">
      <c r="A459" s="137">
        <v>31</v>
      </c>
      <c r="C459" s="230" t="s">
        <v>405</v>
      </c>
      <c r="D459" s="229" t="s">
        <v>184</v>
      </c>
      <c r="E459" s="32"/>
      <c r="F459" s="266">
        <f>'[2]WP FR-16(7)(v) MinSizOHPRIM1'!F28</f>
        <v>3392978</v>
      </c>
      <c r="G459" s="35">
        <f t="shared" si="117"/>
        <v>0</v>
      </c>
      <c r="H459" s="35">
        <f t="shared" si="118"/>
        <v>0</v>
      </c>
      <c r="I459" s="34">
        <f t="shared" si="119"/>
        <v>3392978</v>
      </c>
      <c r="J459" s="146">
        <f t="shared" si="120"/>
        <v>3392978</v>
      </c>
      <c r="K459" s="146">
        <f t="shared" si="121"/>
        <v>0</v>
      </c>
      <c r="L459" s="296">
        <v>3392978</v>
      </c>
      <c r="M459" s="308">
        <f t="shared" si="96"/>
        <v>0</v>
      </c>
    </row>
    <row r="460" spans="1:13">
      <c r="A460" s="137">
        <v>32</v>
      </c>
      <c r="C460" s="230" t="s">
        <v>404</v>
      </c>
      <c r="D460" s="229" t="s">
        <v>165</v>
      </c>
      <c r="E460" s="32"/>
      <c r="F460" s="266">
        <f>'[2]WP FR-16(7)(v) MinSizOHPRIM1'!G28</f>
        <v>989138</v>
      </c>
      <c r="G460" s="35">
        <f t="shared" si="117"/>
        <v>0</v>
      </c>
      <c r="H460" s="35">
        <f t="shared" si="118"/>
        <v>0</v>
      </c>
      <c r="I460" s="34">
        <f t="shared" si="119"/>
        <v>989138</v>
      </c>
      <c r="J460" s="146">
        <f t="shared" si="120"/>
        <v>989138</v>
      </c>
      <c r="K460" s="146">
        <f t="shared" si="121"/>
        <v>0</v>
      </c>
      <c r="L460" s="296">
        <v>989138</v>
      </c>
      <c r="M460" s="308">
        <f t="shared" ref="M460:M523" si="122">L460-F460</f>
        <v>0</v>
      </c>
    </row>
    <row r="461" spans="1:13">
      <c r="A461" s="137">
        <v>33</v>
      </c>
      <c r="C461" s="230" t="s">
        <v>403</v>
      </c>
      <c r="D461" s="229" t="s">
        <v>182</v>
      </c>
      <c r="E461" s="32"/>
      <c r="F461" s="266">
        <f>'[2]WP FR-16(7)(v) MinSizOHSEC1'!F28</f>
        <v>1578808</v>
      </c>
      <c r="G461" s="35">
        <f t="shared" si="117"/>
        <v>0</v>
      </c>
      <c r="H461" s="35">
        <f t="shared" si="118"/>
        <v>0</v>
      </c>
      <c r="I461" s="34">
        <f t="shared" si="119"/>
        <v>1578808</v>
      </c>
      <c r="J461" s="146">
        <f t="shared" si="120"/>
        <v>1578808</v>
      </c>
      <c r="K461" s="146">
        <f t="shared" si="121"/>
        <v>0</v>
      </c>
      <c r="L461" s="296">
        <v>1578808</v>
      </c>
      <c r="M461" s="308">
        <f t="shared" si="122"/>
        <v>0</v>
      </c>
    </row>
    <row r="462" spans="1:13">
      <c r="A462" s="137">
        <v>34</v>
      </c>
      <c r="C462" s="230" t="s">
        <v>402</v>
      </c>
      <c r="D462" s="229" t="s">
        <v>165</v>
      </c>
      <c r="E462" s="32"/>
      <c r="F462" s="266">
        <f>'[2]WP FR-16(7)(v) MinSizOHSEC1'!G28</f>
        <v>389969</v>
      </c>
      <c r="G462" s="35">
        <f t="shared" si="117"/>
        <v>0</v>
      </c>
      <c r="H462" s="35">
        <f t="shared" si="118"/>
        <v>0</v>
      </c>
      <c r="I462" s="34">
        <f t="shared" si="119"/>
        <v>389969</v>
      </c>
      <c r="J462" s="146">
        <f t="shared" si="120"/>
        <v>389969</v>
      </c>
      <c r="K462" s="146">
        <f t="shared" si="121"/>
        <v>0</v>
      </c>
      <c r="L462" s="296">
        <v>389969</v>
      </c>
      <c r="M462" s="308">
        <f t="shared" si="122"/>
        <v>0</v>
      </c>
    </row>
    <row r="463" spans="1:13">
      <c r="A463" s="137">
        <v>35</v>
      </c>
      <c r="C463" s="230" t="s">
        <v>401</v>
      </c>
      <c r="D463" s="229" t="s">
        <v>184</v>
      </c>
      <c r="E463" s="32"/>
      <c r="F463" s="266">
        <f>'[2]WP FR-16(7)(v) MinSizUGPRIM1'!F28</f>
        <v>554996</v>
      </c>
      <c r="G463" s="35">
        <f t="shared" si="117"/>
        <v>0</v>
      </c>
      <c r="H463" s="35">
        <f t="shared" si="118"/>
        <v>0</v>
      </c>
      <c r="I463" s="34">
        <f t="shared" si="119"/>
        <v>554996</v>
      </c>
      <c r="J463" s="146">
        <f t="shared" si="120"/>
        <v>554996</v>
      </c>
      <c r="K463" s="146">
        <f t="shared" si="121"/>
        <v>0</v>
      </c>
      <c r="L463" s="296">
        <v>554996</v>
      </c>
      <c r="M463" s="308">
        <f t="shared" si="122"/>
        <v>0</v>
      </c>
    </row>
    <row r="464" spans="1:13">
      <c r="A464" s="137">
        <v>36</v>
      </c>
      <c r="C464" s="230" t="s">
        <v>400</v>
      </c>
      <c r="D464" s="229" t="s">
        <v>165</v>
      </c>
      <c r="E464" s="32"/>
      <c r="F464" s="266">
        <f>'[2]WP FR-16(7)(v) MinSizUGPRIM1'!G28</f>
        <v>160172</v>
      </c>
      <c r="G464" s="35">
        <f t="shared" si="117"/>
        <v>0</v>
      </c>
      <c r="H464" s="35">
        <f t="shared" si="118"/>
        <v>0</v>
      </c>
      <c r="I464" s="34">
        <f t="shared" si="119"/>
        <v>160172</v>
      </c>
      <c r="J464" s="146">
        <f t="shared" si="120"/>
        <v>160172</v>
      </c>
      <c r="K464" s="146">
        <f t="shared" si="121"/>
        <v>0</v>
      </c>
      <c r="L464" s="296">
        <v>160172</v>
      </c>
      <c r="M464" s="308">
        <f t="shared" si="122"/>
        <v>0</v>
      </c>
    </row>
    <row r="465" spans="1:13">
      <c r="A465" s="137">
        <v>37</v>
      </c>
      <c r="C465" s="230" t="s">
        <v>399</v>
      </c>
      <c r="D465" s="229" t="s">
        <v>182</v>
      </c>
      <c r="E465" s="32"/>
      <c r="F465" s="266">
        <f>'[2]WP FR-16(7)(v) MinSizUGSEC1'!F28</f>
        <v>93355</v>
      </c>
      <c r="G465" s="35">
        <f t="shared" si="117"/>
        <v>0</v>
      </c>
      <c r="H465" s="35">
        <f t="shared" si="118"/>
        <v>0</v>
      </c>
      <c r="I465" s="34">
        <f t="shared" si="119"/>
        <v>93355</v>
      </c>
      <c r="J465" s="146">
        <f t="shared" si="120"/>
        <v>93355</v>
      </c>
      <c r="K465" s="146">
        <f t="shared" si="121"/>
        <v>0</v>
      </c>
      <c r="L465" s="296">
        <v>93355</v>
      </c>
      <c r="M465" s="308">
        <f t="shared" si="122"/>
        <v>0</v>
      </c>
    </row>
    <row r="466" spans="1:13">
      <c r="A466" s="137">
        <v>38</v>
      </c>
      <c r="C466" s="230" t="s">
        <v>398</v>
      </c>
      <c r="D466" s="229" t="s">
        <v>165</v>
      </c>
      <c r="E466" s="32"/>
      <c r="F466" s="266">
        <f>'[2]WP FR-16(7)(v) MinSizUGSEC1'!G28</f>
        <v>53125</v>
      </c>
      <c r="G466" s="35">
        <f t="shared" si="117"/>
        <v>0</v>
      </c>
      <c r="H466" s="35">
        <f t="shared" si="118"/>
        <v>0</v>
      </c>
      <c r="I466" s="34">
        <f t="shared" si="119"/>
        <v>53125</v>
      </c>
      <c r="J466" s="146">
        <f t="shared" si="120"/>
        <v>53125</v>
      </c>
      <c r="K466" s="146">
        <f t="shared" si="121"/>
        <v>0</v>
      </c>
      <c r="L466" s="296">
        <v>53125</v>
      </c>
      <c r="M466" s="308">
        <f t="shared" si="122"/>
        <v>0</v>
      </c>
    </row>
    <row r="467" spans="1:13">
      <c r="A467" s="137">
        <v>39</v>
      </c>
      <c r="C467" s="37" t="s">
        <v>397</v>
      </c>
      <c r="D467" s="81" t="s">
        <v>186</v>
      </c>
      <c r="E467" s="32"/>
      <c r="F467" s="266">
        <f>'[2]WP FR-16(7)(v) Min Siz Trans 1'!F29</f>
        <v>76365</v>
      </c>
      <c r="G467" s="35">
        <f t="shared" si="117"/>
        <v>0</v>
      </c>
      <c r="H467" s="35">
        <f t="shared" si="118"/>
        <v>0</v>
      </c>
      <c r="I467" s="34">
        <f t="shared" si="119"/>
        <v>76365</v>
      </c>
      <c r="J467" s="146">
        <f t="shared" si="120"/>
        <v>76365</v>
      </c>
      <c r="K467" s="146">
        <f t="shared" si="121"/>
        <v>0</v>
      </c>
      <c r="L467" s="296">
        <v>76365</v>
      </c>
      <c r="M467" s="308">
        <f t="shared" si="122"/>
        <v>0</v>
      </c>
    </row>
    <row r="468" spans="1:13">
      <c r="A468" s="137">
        <v>40</v>
      </c>
      <c r="C468" s="37" t="s">
        <v>396</v>
      </c>
      <c r="D468" s="81" t="s">
        <v>167</v>
      </c>
      <c r="E468" s="32"/>
      <c r="F468" s="266">
        <f>'[2]WP FR-16(7)(v) Min Siz Trans 1'!G29</f>
        <v>36574</v>
      </c>
      <c r="G468" s="35">
        <f t="shared" si="117"/>
        <v>0</v>
      </c>
      <c r="H468" s="35">
        <f t="shared" si="118"/>
        <v>0</v>
      </c>
      <c r="I468" s="34">
        <f t="shared" si="119"/>
        <v>36574</v>
      </c>
      <c r="J468" s="146">
        <f t="shared" si="120"/>
        <v>36574</v>
      </c>
      <c r="K468" s="146">
        <f t="shared" si="121"/>
        <v>0</v>
      </c>
      <c r="L468" s="296">
        <v>36574</v>
      </c>
      <c r="M468" s="308">
        <f t="shared" si="122"/>
        <v>0</v>
      </c>
    </row>
    <row r="469" spans="1:13">
      <c r="A469" s="137">
        <v>41</v>
      </c>
      <c r="C469" s="37" t="s">
        <v>395</v>
      </c>
      <c r="D469" s="81" t="s">
        <v>186</v>
      </c>
      <c r="E469" s="32"/>
      <c r="F469" s="265"/>
      <c r="G469" s="35">
        <f t="shared" si="117"/>
        <v>0</v>
      </c>
      <c r="H469" s="35">
        <f t="shared" si="118"/>
        <v>0</v>
      </c>
      <c r="I469" s="34">
        <f t="shared" si="119"/>
        <v>0</v>
      </c>
      <c r="J469" s="146">
        <f t="shared" si="120"/>
        <v>0</v>
      </c>
      <c r="K469" s="146">
        <f t="shared" si="121"/>
        <v>0</v>
      </c>
      <c r="L469" s="306"/>
      <c r="M469" s="308">
        <f t="shared" si="122"/>
        <v>0</v>
      </c>
    </row>
    <row r="470" spans="1:13">
      <c r="A470" s="137">
        <v>42</v>
      </c>
      <c r="C470" s="37" t="s">
        <v>394</v>
      </c>
      <c r="D470" s="81" t="s">
        <v>178</v>
      </c>
      <c r="E470" s="32"/>
      <c r="F470" s="265">
        <f>'[4]SCH_C2.1 - Forecasted Period'!$J$176</f>
        <v>469682</v>
      </c>
      <c r="G470" s="35">
        <f t="shared" si="117"/>
        <v>0</v>
      </c>
      <c r="H470" s="35">
        <f t="shared" si="118"/>
        <v>0</v>
      </c>
      <c r="I470" s="34">
        <f t="shared" si="119"/>
        <v>469682</v>
      </c>
      <c r="J470" s="146">
        <f t="shared" si="120"/>
        <v>469682</v>
      </c>
      <c r="K470" s="146">
        <f t="shared" si="121"/>
        <v>0</v>
      </c>
      <c r="L470" s="306">
        <v>469682</v>
      </c>
      <c r="M470" s="308">
        <f t="shared" si="122"/>
        <v>0</v>
      </c>
    </row>
    <row r="471" spans="1:13">
      <c r="A471" s="137">
        <v>43</v>
      </c>
      <c r="C471" s="37" t="s">
        <v>164</v>
      </c>
      <c r="D471" s="81" t="s">
        <v>163</v>
      </c>
      <c r="E471" s="32"/>
      <c r="F471" s="265">
        <f>'[4]SCH_C2.1 - Forecasted Period'!$J$181+'[4]SCH_C2.1 - Forecasted Period'!$J$196</f>
        <v>364718</v>
      </c>
      <c r="G471" s="35">
        <f t="shared" si="117"/>
        <v>0</v>
      </c>
      <c r="H471" s="35">
        <f t="shared" si="118"/>
        <v>923</v>
      </c>
      <c r="I471" s="34">
        <f t="shared" si="119"/>
        <v>363795</v>
      </c>
      <c r="J471" s="146">
        <f t="shared" si="120"/>
        <v>364718</v>
      </c>
      <c r="K471" s="146">
        <f t="shared" si="121"/>
        <v>0</v>
      </c>
      <c r="L471" s="306">
        <v>364718</v>
      </c>
      <c r="M471" s="308">
        <f t="shared" si="122"/>
        <v>0</v>
      </c>
    </row>
    <row r="472" spans="1:13">
      <c r="A472" s="137">
        <v>44</v>
      </c>
      <c r="C472" s="37" t="s">
        <v>393</v>
      </c>
      <c r="D472" s="228" t="s">
        <v>167</v>
      </c>
      <c r="E472" s="32"/>
      <c r="F472" s="265">
        <f>'[4]SCH_C2.1 - Forecasted Period'!$J$180+'[4]SCH_C2.1 - Forecasted Period'!$J$195</f>
        <v>372671</v>
      </c>
      <c r="G472" s="35">
        <f t="shared" si="117"/>
        <v>0</v>
      </c>
      <c r="H472" s="35">
        <f t="shared" si="118"/>
        <v>0</v>
      </c>
      <c r="I472" s="34">
        <f t="shared" si="119"/>
        <v>372671</v>
      </c>
      <c r="J472" s="146">
        <f t="shared" si="120"/>
        <v>372671</v>
      </c>
      <c r="K472" s="146">
        <f t="shared" si="121"/>
        <v>0</v>
      </c>
      <c r="L472" s="306">
        <v>372671</v>
      </c>
      <c r="M472" s="308">
        <f t="shared" si="122"/>
        <v>0</v>
      </c>
    </row>
    <row r="473" spans="1:13">
      <c r="A473" s="137">
        <v>45</v>
      </c>
      <c r="C473" s="37" t="s">
        <v>392</v>
      </c>
      <c r="D473" s="81" t="s">
        <v>186</v>
      </c>
      <c r="E473" s="32"/>
      <c r="F473" s="265">
        <f>'[4]SCH_C2.1 - Forecasted Period'!$J$175+'[4]SCH_C2.1 - Forecasted Period'!$J$182</f>
        <v>1339434</v>
      </c>
      <c r="G473" s="35">
        <f t="shared" si="117"/>
        <v>0</v>
      </c>
      <c r="H473" s="35">
        <f t="shared" si="118"/>
        <v>0</v>
      </c>
      <c r="I473" s="34">
        <f t="shared" si="119"/>
        <v>1339434</v>
      </c>
      <c r="J473" s="146">
        <f t="shared" si="120"/>
        <v>1339434</v>
      </c>
      <c r="K473" s="146">
        <f t="shared" si="121"/>
        <v>0</v>
      </c>
      <c r="L473" s="306">
        <v>1339434</v>
      </c>
      <c r="M473" s="308">
        <f t="shared" si="122"/>
        <v>0</v>
      </c>
    </row>
    <row r="474" spans="1:13">
      <c r="A474" s="137">
        <v>46</v>
      </c>
      <c r="C474" s="37" t="s">
        <v>391</v>
      </c>
      <c r="D474" s="81" t="s">
        <v>186</v>
      </c>
      <c r="E474" s="32"/>
      <c r="F474" s="265">
        <f>'[4]SCH_C2.1 - Forecasted Period'!$J$183+'[4]SCH_C2.1 - Forecasted Period'!$J$197</f>
        <v>3656514</v>
      </c>
      <c r="G474" s="35">
        <f t="shared" si="117"/>
        <v>0</v>
      </c>
      <c r="H474" s="35">
        <f t="shared" si="118"/>
        <v>0</v>
      </c>
      <c r="I474" s="34">
        <f t="shared" si="119"/>
        <v>3656514</v>
      </c>
      <c r="J474" s="146">
        <f t="shared" si="120"/>
        <v>3656514</v>
      </c>
      <c r="K474" s="146">
        <f t="shared" si="121"/>
        <v>0</v>
      </c>
      <c r="L474" s="306">
        <v>3656514</v>
      </c>
      <c r="M474" s="308">
        <f t="shared" si="122"/>
        <v>0</v>
      </c>
    </row>
    <row r="475" spans="1:13">
      <c r="A475" s="137">
        <v>47</v>
      </c>
      <c r="C475" s="217" t="s">
        <v>390</v>
      </c>
      <c r="D475" s="81" t="s">
        <v>117</v>
      </c>
      <c r="E475" s="32"/>
      <c r="F475" s="265">
        <f>'[4]SCH_C2.1 - Forecasted Period'!$J$184</f>
        <v>65579</v>
      </c>
      <c r="G475" s="35">
        <f t="shared" si="117"/>
        <v>0</v>
      </c>
      <c r="H475" s="35">
        <f t="shared" si="118"/>
        <v>13</v>
      </c>
      <c r="I475" s="34">
        <f t="shared" si="119"/>
        <v>65566</v>
      </c>
      <c r="J475" s="146">
        <f t="shared" si="120"/>
        <v>65579</v>
      </c>
      <c r="K475" s="146">
        <f t="shared" si="121"/>
        <v>0</v>
      </c>
      <c r="L475" s="306">
        <v>65579</v>
      </c>
      <c r="M475" s="308">
        <f t="shared" si="122"/>
        <v>0</v>
      </c>
    </row>
    <row r="476" spans="1:13">
      <c r="A476" s="137">
        <v>48</v>
      </c>
      <c r="C476" s="3" t="s">
        <v>389</v>
      </c>
      <c r="D476" s="81"/>
      <c r="E476" s="32" t="s">
        <v>3</v>
      </c>
      <c r="F476" s="260">
        <f t="shared" ref="F476:K476" si="123">SUM(F456:F475)</f>
        <v>14150408</v>
      </c>
      <c r="G476" s="151">
        <f t="shared" si="123"/>
        <v>556330</v>
      </c>
      <c r="H476" s="151">
        <f t="shared" si="123"/>
        <v>936</v>
      </c>
      <c r="I476" s="150">
        <f t="shared" si="123"/>
        <v>13593142</v>
      </c>
      <c r="J476" s="5">
        <f t="shared" si="123"/>
        <v>14150408</v>
      </c>
      <c r="K476" s="5">
        <f t="shared" si="123"/>
        <v>0</v>
      </c>
      <c r="L476" s="307">
        <v>14150408</v>
      </c>
      <c r="M476" s="308">
        <f t="shared" si="122"/>
        <v>0</v>
      </c>
    </row>
    <row r="477" spans="1:13">
      <c r="A477" s="137">
        <v>49</v>
      </c>
      <c r="C477" s="3" t="s">
        <v>3</v>
      </c>
      <c r="D477" s="81"/>
      <c r="E477" s="32"/>
      <c r="F477" s="258"/>
      <c r="G477" s="40"/>
      <c r="H477" s="40"/>
      <c r="I477" s="39"/>
      <c r="M477" s="308">
        <f t="shared" si="122"/>
        <v>0</v>
      </c>
    </row>
    <row r="478" spans="1:13">
      <c r="A478" s="137">
        <v>50</v>
      </c>
      <c r="B478" s="1" t="s">
        <v>369</v>
      </c>
      <c r="D478" s="81"/>
      <c r="E478" s="32"/>
      <c r="F478" s="258" t="s">
        <v>3</v>
      </c>
      <c r="G478" s="40"/>
      <c r="H478" s="40"/>
      <c r="I478" s="39"/>
      <c r="L478" s="286" t="s">
        <v>3</v>
      </c>
      <c r="M478" s="308" t="e">
        <f t="shared" si="122"/>
        <v>#VALUE!</v>
      </c>
    </row>
    <row r="479" spans="1:13">
      <c r="A479" s="137">
        <v>51</v>
      </c>
      <c r="C479" s="37" t="s">
        <v>388</v>
      </c>
      <c r="D479" s="81" t="s">
        <v>161</v>
      </c>
      <c r="E479" s="32"/>
      <c r="F479" s="265">
        <f>'[4]SCH_C2.1 - Forecasted Period'!$J$221+'[4]SCH_C2.1 - Forecasted Period'!$J$222+'[4]SCH_C2.1 - Forecasted Period'!$J$226+'[4]SCH_C2.1 - Forecasted Period'!$J$219</f>
        <v>3335314</v>
      </c>
      <c r="G479" s="35">
        <f t="shared" ref="G479:G486" si="124">F479-SUM(H479:I479)</f>
        <v>0</v>
      </c>
      <c r="H479" s="35">
        <f t="shared" ref="H479:H486" si="125">ROUND(F479*VLOOKUP(D479,ALLOCTABLE_FUNCTIONAL,$H$10,FALSE),0)</f>
        <v>0</v>
      </c>
      <c r="I479" s="34">
        <f t="shared" ref="I479:I486" si="126">ROUND(F479*VLOOKUP(D479,ALLOCTABLE_FUNCTIONAL,$I$10,FALSE),0)</f>
        <v>3335314</v>
      </c>
      <c r="J479" s="146">
        <f t="shared" ref="J479:J486" si="127">SUM(G479:I479)</f>
        <v>3335314</v>
      </c>
      <c r="K479" s="146">
        <f t="shared" ref="K479:K486" si="128">F479-J479</f>
        <v>0</v>
      </c>
      <c r="L479" s="306">
        <v>3335314</v>
      </c>
      <c r="M479" s="308">
        <f t="shared" si="122"/>
        <v>0</v>
      </c>
    </row>
    <row r="480" spans="1:13">
      <c r="A480" s="137">
        <v>52</v>
      </c>
      <c r="C480" s="37" t="s">
        <v>387</v>
      </c>
      <c r="D480" s="81" t="s">
        <v>159</v>
      </c>
      <c r="E480" s="32"/>
      <c r="F480" s="265">
        <f>'[4]SCH_C2.1 - Forecasted Period'!$J$223</f>
        <v>1965498</v>
      </c>
      <c r="G480" s="35">
        <f t="shared" si="124"/>
        <v>0</v>
      </c>
      <c r="H480" s="35">
        <f t="shared" si="125"/>
        <v>12009</v>
      </c>
      <c r="I480" s="34">
        <f t="shared" si="126"/>
        <v>1953489</v>
      </c>
      <c r="J480" s="146">
        <f t="shared" si="127"/>
        <v>1965498</v>
      </c>
      <c r="K480" s="146">
        <f t="shared" si="128"/>
        <v>0</v>
      </c>
      <c r="L480" s="306">
        <v>1965498</v>
      </c>
      <c r="M480" s="308">
        <f t="shared" si="122"/>
        <v>0</v>
      </c>
    </row>
    <row r="481" spans="1:13">
      <c r="A481" s="137">
        <v>53</v>
      </c>
      <c r="C481" s="37" t="s">
        <v>386</v>
      </c>
      <c r="D481" s="81" t="s">
        <v>163</v>
      </c>
      <c r="E481" s="32"/>
      <c r="F481" s="265">
        <f>'[4]SCH_C2.1 - Forecasted Period'!$J$220</f>
        <v>448743</v>
      </c>
      <c r="G481" s="35">
        <f t="shared" si="124"/>
        <v>0</v>
      </c>
      <c r="H481" s="35">
        <f t="shared" si="125"/>
        <v>1135</v>
      </c>
      <c r="I481" s="34">
        <f t="shared" si="126"/>
        <v>447608</v>
      </c>
      <c r="J481" s="146">
        <f t="shared" si="127"/>
        <v>448743</v>
      </c>
      <c r="K481" s="146">
        <f t="shared" si="128"/>
        <v>0</v>
      </c>
      <c r="L481" s="306">
        <v>448743</v>
      </c>
      <c r="M481" s="308">
        <f t="shared" si="122"/>
        <v>0</v>
      </c>
    </row>
    <row r="482" spans="1:13">
      <c r="A482" s="137">
        <v>54</v>
      </c>
      <c r="C482" s="37" t="s">
        <v>385</v>
      </c>
      <c r="D482" s="81" t="s">
        <v>159</v>
      </c>
      <c r="E482" s="32"/>
      <c r="F482" s="265">
        <f>[4]SCH_C1!$G$20+[4]SCH_D1!$AE$343</f>
        <v>-1382218</v>
      </c>
      <c r="G482" s="35">
        <f t="shared" si="124"/>
        <v>0</v>
      </c>
      <c r="H482" s="35">
        <f t="shared" si="125"/>
        <v>-8445</v>
      </c>
      <c r="I482" s="34">
        <f t="shared" si="126"/>
        <v>-1373773</v>
      </c>
      <c r="J482" s="146">
        <f t="shared" si="127"/>
        <v>-1382218</v>
      </c>
      <c r="K482" s="146">
        <f t="shared" si="128"/>
        <v>0</v>
      </c>
      <c r="L482" s="306">
        <v>-1382218</v>
      </c>
      <c r="M482" s="308">
        <f t="shared" si="122"/>
        <v>0</v>
      </c>
    </row>
    <row r="483" spans="1:13">
      <c r="A483" s="137">
        <v>55</v>
      </c>
      <c r="C483" s="37" t="s">
        <v>363</v>
      </c>
      <c r="D483" s="81" t="s">
        <v>163</v>
      </c>
      <c r="E483" s="32"/>
      <c r="F483" s="265">
        <f>[4]SCH_D1!$AE$281</f>
        <v>-2321137</v>
      </c>
      <c r="G483" s="35">
        <f t="shared" si="124"/>
        <v>0</v>
      </c>
      <c r="H483" s="35">
        <f t="shared" si="125"/>
        <v>-5872</v>
      </c>
      <c r="I483" s="34">
        <f t="shared" si="126"/>
        <v>-2315265</v>
      </c>
      <c r="J483" s="146">
        <f t="shared" si="127"/>
        <v>-2321137</v>
      </c>
      <c r="K483" s="146">
        <f t="shared" si="128"/>
        <v>0</v>
      </c>
      <c r="L483" s="306">
        <v>-2321137</v>
      </c>
      <c r="M483" s="308">
        <f t="shared" si="122"/>
        <v>0</v>
      </c>
    </row>
    <row r="484" spans="1:13">
      <c r="A484" s="137">
        <v>56</v>
      </c>
      <c r="C484" s="37" t="s">
        <v>384</v>
      </c>
      <c r="D484" s="81" t="s">
        <v>165</v>
      </c>
      <c r="E484" s="32"/>
      <c r="F484" s="265">
        <f>[4]SCH_D1!$W$281</f>
        <v>-3838</v>
      </c>
      <c r="G484" s="35">
        <f t="shared" si="124"/>
        <v>0</v>
      </c>
      <c r="H484" s="35">
        <f t="shared" si="125"/>
        <v>0</v>
      </c>
      <c r="I484" s="34">
        <f t="shared" si="126"/>
        <v>-3838</v>
      </c>
      <c r="J484" s="146">
        <f t="shared" si="127"/>
        <v>-3838</v>
      </c>
      <c r="K484" s="146">
        <f t="shared" si="128"/>
        <v>0</v>
      </c>
      <c r="L484" s="306">
        <v>-3838</v>
      </c>
      <c r="M484" s="308">
        <f t="shared" si="122"/>
        <v>0</v>
      </c>
    </row>
    <row r="485" spans="1:13">
      <c r="A485" s="137">
        <v>57</v>
      </c>
      <c r="C485" s="37" t="s">
        <v>383</v>
      </c>
      <c r="D485" s="81" t="s">
        <v>159</v>
      </c>
      <c r="E485" s="32"/>
      <c r="F485" s="265">
        <f>'[4]SCH_C2.1 - Forecasted Period'!$J$225</f>
        <v>999290</v>
      </c>
      <c r="G485" s="35">
        <f t="shared" si="124"/>
        <v>0</v>
      </c>
      <c r="H485" s="35">
        <f t="shared" si="125"/>
        <v>6106</v>
      </c>
      <c r="I485" s="34">
        <f t="shared" si="126"/>
        <v>993184</v>
      </c>
      <c r="J485" s="146">
        <f t="shared" si="127"/>
        <v>999290</v>
      </c>
      <c r="K485" s="146">
        <f t="shared" si="128"/>
        <v>0</v>
      </c>
      <c r="L485" s="306">
        <v>999290</v>
      </c>
      <c r="M485" s="308">
        <f t="shared" si="122"/>
        <v>0</v>
      </c>
    </row>
    <row r="486" spans="1:13">
      <c r="A486" s="137">
        <v>58</v>
      </c>
      <c r="C486" s="217" t="s">
        <v>382</v>
      </c>
      <c r="D486" s="81" t="s">
        <v>165</v>
      </c>
      <c r="E486" s="32"/>
      <c r="F486" s="265">
        <f>[4]SCH_D1!$Y$281</f>
        <v>-18293</v>
      </c>
      <c r="G486" s="35">
        <f t="shared" si="124"/>
        <v>0</v>
      </c>
      <c r="H486" s="35">
        <f t="shared" si="125"/>
        <v>0</v>
      </c>
      <c r="I486" s="34">
        <f t="shared" si="126"/>
        <v>-18293</v>
      </c>
      <c r="J486" s="146">
        <f t="shared" si="127"/>
        <v>-18293</v>
      </c>
      <c r="K486" s="146">
        <f t="shared" si="128"/>
        <v>0</v>
      </c>
      <c r="L486" s="306">
        <v>-18293</v>
      </c>
      <c r="M486" s="308">
        <f t="shared" si="122"/>
        <v>0</v>
      </c>
    </row>
    <row r="487" spans="1:13">
      <c r="A487" s="137">
        <v>59</v>
      </c>
      <c r="C487" s="3" t="s">
        <v>381</v>
      </c>
      <c r="D487" s="12"/>
      <c r="E487" s="32" t="s">
        <v>3</v>
      </c>
      <c r="F487" s="260">
        <f t="shared" ref="F487:K487" si="129">SUM(F478:F486)</f>
        <v>3023359</v>
      </c>
      <c r="G487" s="209">
        <f t="shared" si="129"/>
        <v>0</v>
      </c>
      <c r="H487" s="209">
        <f t="shared" si="129"/>
        <v>4933</v>
      </c>
      <c r="I487" s="208">
        <f t="shared" si="129"/>
        <v>3018426</v>
      </c>
      <c r="J487" s="5">
        <f t="shared" si="129"/>
        <v>3023359</v>
      </c>
      <c r="K487" s="5">
        <f t="shared" si="129"/>
        <v>0</v>
      </c>
      <c r="L487" s="307">
        <v>3023359</v>
      </c>
      <c r="M487" s="308">
        <f t="shared" si="122"/>
        <v>0</v>
      </c>
    </row>
    <row r="488" spans="1:13">
      <c r="B488" s="67"/>
      <c r="C488" s="32"/>
      <c r="D488" s="12"/>
      <c r="E488" s="32"/>
      <c r="F488" s="255"/>
      <c r="G488" s="27"/>
      <c r="H488" s="27"/>
      <c r="I488" s="27"/>
      <c r="J488" s="27"/>
      <c r="K488" s="27"/>
      <c r="L488" s="253"/>
      <c r="M488" s="308">
        <f t="shared" si="122"/>
        <v>0</v>
      </c>
    </row>
    <row r="489" spans="1:13">
      <c r="A489" s="67" t="str">
        <f>co_name</f>
        <v>DUKE ENERGY KENTUCKY, INC.</v>
      </c>
      <c r="C489" s="32"/>
      <c r="D489" s="12"/>
      <c r="E489" s="32"/>
      <c r="F489" s="255"/>
      <c r="G489" s="27"/>
      <c r="H489" s="27"/>
      <c r="I489" s="27"/>
      <c r="J489" s="27" t="str">
        <f>J1</f>
        <v>FR-16(7)(v)-1</v>
      </c>
      <c r="K489" s="27"/>
      <c r="L489" s="253"/>
      <c r="M489" s="308">
        <f t="shared" si="122"/>
        <v>0</v>
      </c>
    </row>
    <row r="490" spans="1:13">
      <c r="A490" s="67" t="str">
        <f>$A$2</f>
        <v>FUNCTIONAL ELECTRIC COST OF SERVICE</v>
      </c>
      <c r="C490" s="32"/>
      <c r="D490" s="12"/>
      <c r="E490" s="32"/>
      <c r="F490" s="255"/>
      <c r="G490" s="27"/>
      <c r="H490" s="27"/>
      <c r="I490" s="27"/>
      <c r="J490" s="27" t="str">
        <f>J2</f>
        <v>WITNESS RESPONSIBLE:</v>
      </c>
      <c r="K490" s="27"/>
      <c r="L490" s="253"/>
      <c r="M490" s="308">
        <f t="shared" si="122"/>
        <v>0</v>
      </c>
    </row>
    <row r="491" spans="1:13">
      <c r="A491" s="67" t="str">
        <f>case_name</f>
        <v>CASE NO: 2017-00321</v>
      </c>
      <c r="C491" s="32"/>
      <c r="D491" s="12"/>
      <c r="E491" s="32"/>
      <c r="F491" s="255"/>
      <c r="G491" s="27"/>
      <c r="H491" s="27"/>
      <c r="I491" s="27"/>
      <c r="J491" s="27" t="str">
        <f>Witness</f>
        <v>JAMES E. ZIOLKOWSKI</v>
      </c>
      <c r="K491" s="27"/>
      <c r="L491" s="253"/>
      <c r="M491" s="308">
        <f t="shared" si="122"/>
        <v>0</v>
      </c>
    </row>
    <row r="492" spans="1:13">
      <c r="A492" s="67" t="str">
        <f>data_filing</f>
        <v>DATA: 12 MONTHS ACTUAL  &amp; 0 MONTHS ESTIMATED</v>
      </c>
      <c r="C492" s="32"/>
      <c r="D492" s="12"/>
      <c r="E492" s="32"/>
      <c r="F492" s="255"/>
      <c r="G492" s="27"/>
      <c r="H492" s="27"/>
      <c r="I492" s="27"/>
      <c r="J492" s="27" t="str">
        <f>"PAGE "&amp;Pages-9&amp;" OF "&amp;Pages</f>
        <v>PAGE 9 OF 18</v>
      </c>
      <c r="K492" s="27"/>
      <c r="L492" s="253"/>
      <c r="M492" s="308">
        <f t="shared" si="122"/>
        <v>0</v>
      </c>
    </row>
    <row r="493" spans="1:13">
      <c r="A493" s="67" t="str">
        <f>type</f>
        <v xml:space="preserve">TYPE OF FILING: "X" ORIGINAL   UPDATED    REVISED  </v>
      </c>
      <c r="C493" s="32"/>
      <c r="D493" s="12"/>
      <c r="E493" s="32"/>
      <c r="F493" s="255"/>
      <c r="G493" s="27"/>
      <c r="H493" s="27"/>
      <c r="I493" s="27"/>
      <c r="J493" s="27"/>
      <c r="K493" s="27"/>
      <c r="L493" s="253"/>
      <c r="M493" s="308">
        <f t="shared" si="122"/>
        <v>0</v>
      </c>
    </row>
    <row r="494" spans="1:13">
      <c r="B494" s="67"/>
      <c r="C494" s="32"/>
      <c r="D494" s="12"/>
      <c r="E494" s="32"/>
      <c r="F494" s="255"/>
      <c r="G494" s="27"/>
      <c r="H494" s="27"/>
      <c r="I494" s="27"/>
      <c r="J494" s="27"/>
      <c r="K494" s="27"/>
      <c r="L494" s="253"/>
      <c r="M494" s="308">
        <f t="shared" si="122"/>
        <v>0</v>
      </c>
    </row>
    <row r="495" spans="1:13">
      <c r="B495" s="67"/>
      <c r="C495" s="32"/>
      <c r="D495" s="12"/>
      <c r="E495" s="32"/>
      <c r="F495" s="255"/>
      <c r="G495" s="27"/>
      <c r="H495" s="27"/>
      <c r="I495" s="27"/>
      <c r="J495" s="27"/>
      <c r="K495" s="27"/>
      <c r="L495" s="253"/>
      <c r="M495" s="308">
        <f t="shared" si="122"/>
        <v>0</v>
      </c>
    </row>
    <row r="496" spans="1:13">
      <c r="A496" s="8" t="s">
        <v>91</v>
      </c>
      <c r="B496" s="27"/>
      <c r="C496" s="32"/>
      <c r="D496" s="12"/>
      <c r="E496" s="32"/>
      <c r="F496" s="256" t="s">
        <v>1</v>
      </c>
      <c r="G496" s="65" t="s">
        <v>90</v>
      </c>
      <c r="H496" s="65"/>
      <c r="I496" s="64"/>
      <c r="J496" s="8" t="s">
        <v>1</v>
      </c>
      <c r="K496" s="8" t="s">
        <v>89</v>
      </c>
      <c r="L496" s="284" t="s">
        <v>1</v>
      </c>
      <c r="M496" s="308" t="e">
        <f t="shared" si="122"/>
        <v>#VALUE!</v>
      </c>
    </row>
    <row r="497" spans="1:13">
      <c r="A497" s="57" t="s">
        <v>88</v>
      </c>
      <c r="B497" s="145" t="s">
        <v>380</v>
      </c>
      <c r="C497" s="62"/>
      <c r="D497" s="56" t="s">
        <v>85</v>
      </c>
      <c r="E497" s="62"/>
      <c r="F497" s="264" t="str">
        <f>$F$9</f>
        <v>ELECTRIC</v>
      </c>
      <c r="G497" s="59" t="str">
        <f t="shared" ref="G497:I498" si="130">G9</f>
        <v>PRODUCTION</v>
      </c>
      <c r="H497" s="59" t="str">
        <f t="shared" si="130"/>
        <v>TRANSMISSION</v>
      </c>
      <c r="I497" s="58" t="str">
        <f t="shared" si="130"/>
        <v>DISTRIBUTION</v>
      </c>
      <c r="J497" s="57" t="s">
        <v>84</v>
      </c>
      <c r="K497" s="57" t="s">
        <v>83</v>
      </c>
      <c r="L497" s="285" t="s">
        <v>82</v>
      </c>
      <c r="M497" s="308" t="e">
        <f t="shared" si="122"/>
        <v>#VALUE!</v>
      </c>
    </row>
    <row r="498" spans="1:13">
      <c r="C498" s="144" t="s">
        <v>379</v>
      </c>
      <c r="D498" s="12"/>
      <c r="E498" s="32"/>
      <c r="F498" s="258"/>
      <c r="G498" s="53">
        <f t="shared" si="130"/>
        <v>3</v>
      </c>
      <c r="H498" s="53">
        <f t="shared" si="130"/>
        <v>4</v>
      </c>
      <c r="I498" s="52">
        <f t="shared" si="130"/>
        <v>5</v>
      </c>
      <c r="M498" s="308">
        <f t="shared" si="122"/>
        <v>0</v>
      </c>
    </row>
    <row r="499" spans="1:13">
      <c r="A499" s="137">
        <v>1</v>
      </c>
      <c r="B499" s="1" t="s">
        <v>368</v>
      </c>
      <c r="D499" s="12"/>
      <c r="E499" s="32"/>
      <c r="F499" s="258"/>
      <c r="G499" s="40"/>
      <c r="H499" s="40"/>
      <c r="I499" s="39"/>
      <c r="M499" s="308">
        <f t="shared" si="122"/>
        <v>0</v>
      </c>
    </row>
    <row r="500" spans="1:13">
      <c r="A500" s="137">
        <v>2</v>
      </c>
      <c r="C500" s="223" t="s">
        <v>378</v>
      </c>
      <c r="D500" s="81" t="s">
        <v>165</v>
      </c>
      <c r="E500" s="32"/>
      <c r="F500" s="262">
        <f>[4]SCH_C2!$N$33</f>
        <v>1081198</v>
      </c>
      <c r="G500" s="35">
        <f>F500-SUM(H500:I500)</f>
        <v>0</v>
      </c>
      <c r="H500" s="35">
        <f>ROUND(F500*VLOOKUP(D500,ALLOCTABLE_FUNCTIONAL,$H$10,FALSE),0)</f>
        <v>0</v>
      </c>
      <c r="I500" s="34">
        <f>ROUND(F500*VLOOKUP(D500,ALLOCTABLE_FUNCTIONAL,$I$10,FALSE),0)</f>
        <v>1081198</v>
      </c>
      <c r="J500" s="146">
        <f>SUM(G500:I500)</f>
        <v>1081198</v>
      </c>
      <c r="K500" s="146">
        <f>F500-J500</f>
        <v>0</v>
      </c>
      <c r="L500" s="287">
        <v>1081198</v>
      </c>
      <c r="M500" s="308">
        <f t="shared" si="122"/>
        <v>0</v>
      </c>
    </row>
    <row r="501" spans="1:13">
      <c r="A501" s="137">
        <v>3</v>
      </c>
      <c r="C501" s="223" t="s">
        <v>377</v>
      </c>
      <c r="D501" s="81" t="s">
        <v>165</v>
      </c>
      <c r="E501" s="32"/>
      <c r="F501" s="262">
        <v>0</v>
      </c>
      <c r="G501" s="35">
        <f>F501-SUM(H501:I501)</f>
        <v>0</v>
      </c>
      <c r="H501" s="35">
        <f>ROUND(F501*VLOOKUP(D501,ALLOCTABLE_FUNCTIONAL,$H$10,FALSE),0)</f>
        <v>0</v>
      </c>
      <c r="I501" s="34">
        <f>ROUND(F501*VLOOKUP(D501,ALLOCTABLE_FUNCTIONAL,$I$10,FALSE),0)</f>
        <v>0</v>
      </c>
      <c r="J501" s="146">
        <f>SUM(G501:I501)</f>
        <v>0</v>
      </c>
      <c r="K501" s="146">
        <f>F501-J501</f>
        <v>0</v>
      </c>
      <c r="L501" s="287">
        <v>0</v>
      </c>
      <c r="M501" s="308">
        <f t="shared" si="122"/>
        <v>0</v>
      </c>
    </row>
    <row r="502" spans="1:13">
      <c r="A502" s="137">
        <v>4</v>
      </c>
      <c r="C502" s="227" t="s">
        <v>376</v>
      </c>
      <c r="D502" s="81"/>
      <c r="E502" s="32" t="s">
        <v>3</v>
      </c>
      <c r="F502" s="260">
        <f t="shared" ref="F502:K502" si="131">SUM(F500:F501)</f>
        <v>1081198</v>
      </c>
      <c r="G502" s="151">
        <f t="shared" si="131"/>
        <v>0</v>
      </c>
      <c r="H502" s="151">
        <f t="shared" si="131"/>
        <v>0</v>
      </c>
      <c r="I502" s="150">
        <f t="shared" si="131"/>
        <v>1081198</v>
      </c>
      <c r="J502" s="5">
        <f t="shared" si="131"/>
        <v>1081198</v>
      </c>
      <c r="K502" s="5">
        <f t="shared" si="131"/>
        <v>0</v>
      </c>
      <c r="L502" s="307">
        <v>1081198</v>
      </c>
      <c r="M502" s="308">
        <f t="shared" si="122"/>
        <v>0</v>
      </c>
    </row>
    <row r="503" spans="1:13">
      <c r="A503" s="137">
        <v>5</v>
      </c>
      <c r="D503" s="81"/>
      <c r="E503" s="32"/>
      <c r="F503" s="259"/>
      <c r="G503" s="35"/>
      <c r="H503" s="35"/>
      <c r="I503" s="34"/>
      <c r="J503" s="146"/>
      <c r="K503" s="146"/>
      <c r="L503" s="298"/>
      <c r="M503" s="308">
        <f t="shared" si="122"/>
        <v>0</v>
      </c>
    </row>
    <row r="504" spans="1:13">
      <c r="A504" s="137">
        <v>6</v>
      </c>
      <c r="B504" s="1" t="s">
        <v>367</v>
      </c>
      <c r="D504" s="81"/>
      <c r="E504" s="32"/>
      <c r="F504" s="259"/>
      <c r="G504" s="35"/>
      <c r="H504" s="35"/>
      <c r="I504" s="34"/>
      <c r="J504" s="146"/>
      <c r="K504" s="146"/>
      <c r="L504" s="298"/>
      <c r="M504" s="308">
        <f t="shared" si="122"/>
        <v>0</v>
      </c>
    </row>
    <row r="505" spans="1:13">
      <c r="A505" s="137">
        <v>7</v>
      </c>
      <c r="C505" s="217" t="s">
        <v>375</v>
      </c>
      <c r="D505" s="81" t="s">
        <v>165</v>
      </c>
      <c r="E505" s="32" t="s">
        <v>3</v>
      </c>
      <c r="F505" s="262">
        <f>[4]SCH_C2!$N$34</f>
        <v>673076</v>
      </c>
      <c r="G505" s="35">
        <f>F505-SUM(H505:I505)</f>
        <v>0</v>
      </c>
      <c r="H505" s="35">
        <f>ROUND(F505*VLOOKUP(D505,ALLOCTABLE_FUNCTIONAL,$H$10,FALSE),0)</f>
        <v>0</v>
      </c>
      <c r="I505" s="34">
        <f>ROUND(F505*VLOOKUP(D505,ALLOCTABLE_FUNCTIONAL,$I$10,FALSE),0)</f>
        <v>673076</v>
      </c>
      <c r="J505" s="146">
        <f>SUM(G505:I505)</f>
        <v>673076</v>
      </c>
      <c r="K505" s="146">
        <f>F505-J505</f>
        <v>0</v>
      </c>
      <c r="L505" s="287">
        <v>673076</v>
      </c>
      <c r="M505" s="308">
        <f t="shared" si="122"/>
        <v>0</v>
      </c>
    </row>
    <row r="506" spans="1:13">
      <c r="A506" s="137">
        <v>8</v>
      </c>
      <c r="C506" s="224" t="s">
        <v>374</v>
      </c>
      <c r="D506" s="81"/>
      <c r="E506" s="32" t="s">
        <v>3</v>
      </c>
      <c r="F506" s="260">
        <f t="shared" ref="F506:K506" si="132">SUM(F504:F505)</f>
        <v>673076</v>
      </c>
      <c r="G506" s="151">
        <f t="shared" si="132"/>
        <v>0</v>
      </c>
      <c r="H506" s="151">
        <f t="shared" si="132"/>
        <v>0</v>
      </c>
      <c r="I506" s="150">
        <f t="shared" si="132"/>
        <v>673076</v>
      </c>
      <c r="J506" s="5">
        <f t="shared" si="132"/>
        <v>673076</v>
      </c>
      <c r="K506" s="5">
        <f t="shared" si="132"/>
        <v>0</v>
      </c>
      <c r="L506" s="307">
        <v>673076</v>
      </c>
      <c r="M506" s="308">
        <f t="shared" si="122"/>
        <v>0</v>
      </c>
    </row>
    <row r="507" spans="1:13">
      <c r="A507" s="137">
        <v>9</v>
      </c>
      <c r="D507" s="81"/>
      <c r="E507" s="32"/>
      <c r="F507" s="261"/>
      <c r="G507" s="40"/>
      <c r="H507" s="40"/>
      <c r="I507" s="39"/>
      <c r="L507" s="300"/>
      <c r="M507" s="308">
        <f t="shared" si="122"/>
        <v>0</v>
      </c>
    </row>
    <row r="508" spans="1:13">
      <c r="A508" s="137">
        <v>10</v>
      </c>
      <c r="B508" s="1" t="s">
        <v>373</v>
      </c>
      <c r="D508" s="81"/>
      <c r="E508" s="32"/>
      <c r="F508" s="261"/>
      <c r="G508" s="40"/>
      <c r="H508" s="40"/>
      <c r="I508" s="39"/>
      <c r="L508" s="300"/>
      <c r="M508" s="308">
        <f t="shared" si="122"/>
        <v>0</v>
      </c>
    </row>
    <row r="509" spans="1:13">
      <c r="A509" s="137">
        <v>11</v>
      </c>
      <c r="C509" s="37" t="s">
        <v>372</v>
      </c>
      <c r="D509" s="81" t="s">
        <v>78</v>
      </c>
      <c r="E509" s="32"/>
      <c r="F509" s="266">
        <f>'[2]WP FR-16(7)(v) A&amp;G WP'!H12</f>
        <v>5601657</v>
      </c>
      <c r="G509" s="35">
        <f t="shared" ref="G509:G515" si="133">F509-SUM(H509:I509)</f>
        <v>5601657</v>
      </c>
      <c r="H509" s="35">
        <f t="shared" ref="H509:H515" si="134">ROUND(F509*VLOOKUP(D509,ALLOCTABLE_FUNCTIONAL,$H$10,FALSE),0)</f>
        <v>0</v>
      </c>
      <c r="I509" s="34">
        <f t="shared" ref="I509:I515" si="135">ROUND(F509*VLOOKUP(D509,ALLOCTABLE_FUNCTIONAL,$I$10,FALSE),0)</f>
        <v>0</v>
      </c>
      <c r="J509" s="146">
        <f t="shared" ref="J509:J515" si="136">SUM(G509:I509)</f>
        <v>5601657</v>
      </c>
      <c r="K509" s="146">
        <f t="shared" ref="K509:K515" si="137">F509-J509</f>
        <v>0</v>
      </c>
      <c r="L509" s="296">
        <v>5601657</v>
      </c>
      <c r="M509" s="308">
        <f t="shared" si="122"/>
        <v>0</v>
      </c>
    </row>
    <row r="510" spans="1:13">
      <c r="A510" s="137">
        <v>12</v>
      </c>
      <c r="C510" s="37" t="s">
        <v>371</v>
      </c>
      <c r="D510" s="81" t="s">
        <v>76</v>
      </c>
      <c r="E510" s="32"/>
      <c r="F510" s="266">
        <f>'[2]WP FR-16(7)(v) A&amp;G WP'!H13</f>
        <v>4908732</v>
      </c>
      <c r="G510" s="35">
        <f t="shared" si="133"/>
        <v>4908732</v>
      </c>
      <c r="H510" s="35">
        <f t="shared" si="134"/>
        <v>0</v>
      </c>
      <c r="I510" s="34">
        <f t="shared" si="135"/>
        <v>0</v>
      </c>
      <c r="J510" s="146">
        <f t="shared" si="136"/>
        <v>4908732</v>
      </c>
      <c r="K510" s="146">
        <f t="shared" si="137"/>
        <v>0</v>
      </c>
      <c r="L510" s="296">
        <v>4908732</v>
      </c>
      <c r="M510" s="308">
        <f t="shared" si="122"/>
        <v>0</v>
      </c>
    </row>
    <row r="511" spans="1:13">
      <c r="A511" s="137">
        <v>13</v>
      </c>
      <c r="C511" s="37" t="s">
        <v>370</v>
      </c>
      <c r="D511" s="81" t="s">
        <v>72</v>
      </c>
      <c r="E511" s="32"/>
      <c r="F511" s="266">
        <f>'[2]WP FR-16(7)(v) A&amp;G WP'!H14</f>
        <v>957066</v>
      </c>
      <c r="G511" s="35">
        <f t="shared" si="133"/>
        <v>0</v>
      </c>
      <c r="H511" s="35">
        <f t="shared" si="134"/>
        <v>957066</v>
      </c>
      <c r="I511" s="34">
        <f t="shared" si="135"/>
        <v>0</v>
      </c>
      <c r="J511" s="146">
        <f t="shared" si="136"/>
        <v>957066</v>
      </c>
      <c r="K511" s="146">
        <f t="shared" si="137"/>
        <v>0</v>
      </c>
      <c r="L511" s="296">
        <v>957066</v>
      </c>
      <c r="M511" s="308">
        <f t="shared" si="122"/>
        <v>0</v>
      </c>
    </row>
    <row r="512" spans="1:13">
      <c r="A512" s="137">
        <v>14</v>
      </c>
      <c r="C512" s="37" t="s">
        <v>271</v>
      </c>
      <c r="D512" s="81" t="s">
        <v>70</v>
      </c>
      <c r="E512" s="32"/>
      <c r="F512" s="266">
        <f>'[2]WP FR-16(7)(v) A&amp;G WP'!H15</f>
        <v>4243834</v>
      </c>
      <c r="G512" s="35">
        <f t="shared" si="133"/>
        <v>166825</v>
      </c>
      <c r="H512" s="35">
        <f t="shared" si="134"/>
        <v>297</v>
      </c>
      <c r="I512" s="34">
        <f t="shared" si="135"/>
        <v>4076712</v>
      </c>
      <c r="J512" s="146">
        <f t="shared" si="136"/>
        <v>4243834</v>
      </c>
      <c r="K512" s="146">
        <f t="shared" si="137"/>
        <v>0</v>
      </c>
      <c r="L512" s="296">
        <v>4243834</v>
      </c>
      <c r="M512" s="308">
        <f t="shared" si="122"/>
        <v>0</v>
      </c>
    </row>
    <row r="513" spans="1:13">
      <c r="A513" s="137">
        <v>15</v>
      </c>
      <c r="C513" s="37" t="s">
        <v>369</v>
      </c>
      <c r="D513" s="81" t="s">
        <v>66</v>
      </c>
      <c r="E513" s="32"/>
      <c r="F513" s="266">
        <f>'[2]WP FR-16(7)(v) A&amp;G WP'!H16</f>
        <v>2291207</v>
      </c>
      <c r="G513" s="35">
        <f t="shared" si="133"/>
        <v>0</v>
      </c>
      <c r="H513" s="35">
        <f t="shared" si="134"/>
        <v>3735</v>
      </c>
      <c r="I513" s="34">
        <f t="shared" si="135"/>
        <v>2287472</v>
      </c>
      <c r="J513" s="146">
        <f t="shared" si="136"/>
        <v>2291207</v>
      </c>
      <c r="K513" s="146">
        <f t="shared" si="137"/>
        <v>0</v>
      </c>
      <c r="L513" s="296">
        <v>2291207</v>
      </c>
      <c r="M513" s="308">
        <f t="shared" si="122"/>
        <v>0</v>
      </c>
    </row>
    <row r="514" spans="1:13">
      <c r="A514" s="137">
        <v>16</v>
      </c>
      <c r="C514" s="37" t="s">
        <v>368</v>
      </c>
      <c r="D514" s="81" t="s">
        <v>64</v>
      </c>
      <c r="E514" s="32"/>
      <c r="F514" s="266">
        <f>'[2]WP FR-16(7)(v) A&amp;G WP'!H17</f>
        <v>182203</v>
      </c>
      <c r="G514" s="35">
        <f t="shared" si="133"/>
        <v>0</v>
      </c>
      <c r="H514" s="35">
        <f t="shared" si="134"/>
        <v>0</v>
      </c>
      <c r="I514" s="34">
        <f t="shared" si="135"/>
        <v>182203</v>
      </c>
      <c r="J514" s="146">
        <f t="shared" si="136"/>
        <v>182203</v>
      </c>
      <c r="K514" s="146">
        <f t="shared" si="137"/>
        <v>0</v>
      </c>
      <c r="L514" s="296">
        <v>182203</v>
      </c>
      <c r="M514" s="308">
        <f t="shared" si="122"/>
        <v>0</v>
      </c>
    </row>
    <row r="515" spans="1:13">
      <c r="A515" s="137">
        <v>17</v>
      </c>
      <c r="C515" s="217" t="s">
        <v>367</v>
      </c>
      <c r="D515" s="81" t="s">
        <v>62</v>
      </c>
      <c r="E515" s="32"/>
      <c r="F515" s="266">
        <f>'[2]WP FR-16(7)(v) A&amp;G WP'!H18</f>
        <v>0</v>
      </c>
      <c r="G515" s="35">
        <f t="shared" si="133"/>
        <v>0</v>
      </c>
      <c r="H515" s="35">
        <f t="shared" si="134"/>
        <v>0</v>
      </c>
      <c r="I515" s="34">
        <f t="shared" si="135"/>
        <v>0</v>
      </c>
      <c r="J515" s="185">
        <f t="shared" si="136"/>
        <v>0</v>
      </c>
      <c r="K515" s="185">
        <f t="shared" si="137"/>
        <v>0</v>
      </c>
      <c r="L515" s="315">
        <v>0</v>
      </c>
      <c r="M515" s="308">
        <f t="shared" si="122"/>
        <v>0</v>
      </c>
    </row>
    <row r="516" spans="1:13">
      <c r="A516" s="137">
        <v>18</v>
      </c>
      <c r="C516" s="224" t="s">
        <v>366</v>
      </c>
      <c r="D516" s="81" t="s">
        <v>3</v>
      </c>
      <c r="E516" s="32"/>
      <c r="F516" s="273">
        <f t="shared" ref="F516:K516" si="138">SUM(F509:F515)</f>
        <v>18184699</v>
      </c>
      <c r="G516" s="226">
        <f t="shared" si="138"/>
        <v>10677214</v>
      </c>
      <c r="H516" s="226">
        <f t="shared" si="138"/>
        <v>961098</v>
      </c>
      <c r="I516" s="225">
        <f t="shared" si="138"/>
        <v>6546387</v>
      </c>
      <c r="J516" s="221">
        <f t="shared" si="138"/>
        <v>18184699</v>
      </c>
      <c r="K516" s="221">
        <f t="shared" si="138"/>
        <v>0</v>
      </c>
      <c r="L516" s="316">
        <v>18184699</v>
      </c>
      <c r="M516" s="308">
        <f t="shared" si="122"/>
        <v>0</v>
      </c>
    </row>
    <row r="517" spans="1:13">
      <c r="A517" s="137">
        <v>19</v>
      </c>
      <c r="C517" s="37" t="s">
        <v>365</v>
      </c>
      <c r="D517" s="81" t="s">
        <v>43</v>
      </c>
      <c r="E517" s="32"/>
      <c r="F517" s="262">
        <f>[4]SCH_D1!$Y$223</f>
        <v>120538</v>
      </c>
      <c r="G517" s="35">
        <f t="shared" ref="G517:G530" si="139">F517-SUM(H517:I517)</f>
        <v>70776</v>
      </c>
      <c r="H517" s="35">
        <f t="shared" ref="H517:H530" si="140">ROUND(F517*VLOOKUP(D517,ALLOCTABLE_FUNCTIONAL,$H$10,FALSE),0)</f>
        <v>6370</v>
      </c>
      <c r="I517" s="34">
        <f t="shared" ref="I517:I530" si="141">ROUND(F517*VLOOKUP(D517,ALLOCTABLE_FUNCTIONAL,$I$10,FALSE),0)</f>
        <v>43392</v>
      </c>
      <c r="J517" s="146">
        <f t="shared" ref="J517:J530" si="142">SUM(G517:I517)</f>
        <v>120538</v>
      </c>
      <c r="K517" s="146">
        <f t="shared" ref="K517:K530" si="143">F517-J517</f>
        <v>0</v>
      </c>
      <c r="L517" s="287">
        <v>120538</v>
      </c>
      <c r="M517" s="308">
        <f t="shared" si="122"/>
        <v>0</v>
      </c>
    </row>
    <row r="518" spans="1:13">
      <c r="A518" s="137">
        <v>20</v>
      </c>
      <c r="C518" s="37" t="s">
        <v>364</v>
      </c>
      <c r="D518" s="81" t="s">
        <v>43</v>
      </c>
      <c r="E518" s="32"/>
      <c r="F518" s="262"/>
      <c r="G518" s="35">
        <f t="shared" si="139"/>
        <v>0</v>
      </c>
      <c r="H518" s="35">
        <f t="shared" si="140"/>
        <v>0</v>
      </c>
      <c r="I518" s="34">
        <f t="shared" si="141"/>
        <v>0</v>
      </c>
      <c r="J518" s="146">
        <f t="shared" si="142"/>
        <v>0</v>
      </c>
      <c r="K518" s="146">
        <f t="shared" si="143"/>
        <v>0</v>
      </c>
      <c r="L518" s="287"/>
      <c r="M518" s="308">
        <f t="shared" si="122"/>
        <v>0</v>
      </c>
    </row>
    <row r="519" spans="1:13">
      <c r="A519" s="137">
        <v>21</v>
      </c>
      <c r="C519" s="37" t="s">
        <v>363</v>
      </c>
      <c r="D519" s="81" t="s">
        <v>43</v>
      </c>
      <c r="E519" s="32"/>
      <c r="F519" s="262"/>
      <c r="G519" s="35">
        <f t="shared" si="139"/>
        <v>0</v>
      </c>
      <c r="H519" s="35">
        <f t="shared" si="140"/>
        <v>0</v>
      </c>
      <c r="I519" s="34">
        <f t="shared" si="141"/>
        <v>0</v>
      </c>
      <c r="J519" s="146">
        <f t="shared" si="142"/>
        <v>0</v>
      </c>
      <c r="K519" s="146">
        <f t="shared" si="143"/>
        <v>0</v>
      </c>
      <c r="L519" s="287"/>
      <c r="M519" s="308">
        <f t="shared" si="122"/>
        <v>0</v>
      </c>
    </row>
    <row r="520" spans="1:13">
      <c r="A520" s="137">
        <v>22</v>
      </c>
      <c r="C520" s="37" t="s">
        <v>362</v>
      </c>
      <c r="D520" s="81" t="s">
        <v>43</v>
      </c>
      <c r="E520" s="32"/>
      <c r="F520" s="262"/>
      <c r="G520" s="35">
        <f t="shared" si="139"/>
        <v>0</v>
      </c>
      <c r="H520" s="35">
        <f t="shared" si="140"/>
        <v>0</v>
      </c>
      <c r="I520" s="34">
        <f t="shared" si="141"/>
        <v>0</v>
      </c>
      <c r="J520" s="146">
        <f t="shared" si="142"/>
        <v>0</v>
      </c>
      <c r="K520" s="146">
        <f t="shared" si="143"/>
        <v>0</v>
      </c>
      <c r="L520" s="287"/>
      <c r="M520" s="308">
        <f t="shared" si="122"/>
        <v>0</v>
      </c>
    </row>
    <row r="521" spans="1:13">
      <c r="A521" s="137">
        <v>23</v>
      </c>
      <c r="C521" s="223" t="s">
        <v>361</v>
      </c>
      <c r="D521" s="81" t="s">
        <v>43</v>
      </c>
      <c r="E521" s="32"/>
      <c r="F521" s="265">
        <f>'[4]SCH_C2.1 - Forecasted Period'!$J$294</f>
        <v>-82500</v>
      </c>
      <c r="G521" s="35">
        <f t="shared" si="139"/>
        <v>-48441</v>
      </c>
      <c r="H521" s="35">
        <f t="shared" si="140"/>
        <v>-4360</v>
      </c>
      <c r="I521" s="34">
        <f t="shared" si="141"/>
        <v>-29699</v>
      </c>
      <c r="J521" s="146">
        <f t="shared" si="142"/>
        <v>-82500</v>
      </c>
      <c r="K521" s="146">
        <f t="shared" si="143"/>
        <v>0</v>
      </c>
      <c r="L521" s="306">
        <v>-82500</v>
      </c>
      <c r="M521" s="308">
        <f t="shared" si="122"/>
        <v>0</v>
      </c>
    </row>
    <row r="522" spans="1:13">
      <c r="A522" s="137">
        <v>24</v>
      </c>
      <c r="C522" s="37" t="s">
        <v>360</v>
      </c>
      <c r="D522" s="81" t="s">
        <v>43</v>
      </c>
      <c r="E522" s="32"/>
      <c r="F522" s="262"/>
      <c r="G522" s="35">
        <f t="shared" si="139"/>
        <v>0</v>
      </c>
      <c r="H522" s="35">
        <f t="shared" si="140"/>
        <v>0</v>
      </c>
      <c r="I522" s="34">
        <f t="shared" si="141"/>
        <v>0</v>
      </c>
      <c r="J522" s="146">
        <f t="shared" si="142"/>
        <v>0</v>
      </c>
      <c r="K522" s="146">
        <f t="shared" si="143"/>
        <v>0</v>
      </c>
      <c r="L522" s="287"/>
      <c r="M522" s="308">
        <f t="shared" si="122"/>
        <v>0</v>
      </c>
    </row>
    <row r="523" spans="1:13">
      <c r="A523" s="137">
        <v>25</v>
      </c>
      <c r="C523" s="37" t="s">
        <v>359</v>
      </c>
      <c r="D523" s="81" t="s">
        <v>43</v>
      </c>
      <c r="E523" s="32"/>
      <c r="F523" s="262"/>
      <c r="G523" s="35">
        <f t="shared" si="139"/>
        <v>0</v>
      </c>
      <c r="H523" s="35">
        <f t="shared" si="140"/>
        <v>0</v>
      </c>
      <c r="I523" s="34">
        <f t="shared" si="141"/>
        <v>0</v>
      </c>
      <c r="J523" s="146">
        <f t="shared" si="142"/>
        <v>0</v>
      </c>
      <c r="K523" s="146">
        <f t="shared" si="143"/>
        <v>0</v>
      </c>
      <c r="L523" s="287"/>
      <c r="M523" s="308">
        <f t="shared" si="122"/>
        <v>0</v>
      </c>
    </row>
    <row r="524" spans="1:13">
      <c r="A524" s="137">
        <v>26</v>
      </c>
      <c r="C524" s="37" t="s">
        <v>358</v>
      </c>
      <c r="D524" s="81" t="s">
        <v>43</v>
      </c>
      <c r="E524" s="32"/>
      <c r="F524" s="262"/>
      <c r="G524" s="35">
        <f t="shared" si="139"/>
        <v>0</v>
      </c>
      <c r="H524" s="35">
        <f t="shared" si="140"/>
        <v>0</v>
      </c>
      <c r="I524" s="34">
        <f t="shared" si="141"/>
        <v>0</v>
      </c>
      <c r="J524" s="146">
        <f t="shared" si="142"/>
        <v>0</v>
      </c>
      <c r="K524" s="146">
        <f t="shared" si="143"/>
        <v>0</v>
      </c>
      <c r="L524" s="287"/>
      <c r="M524" s="308">
        <f t="shared" ref="M524:M587" si="144">L524-F524</f>
        <v>0</v>
      </c>
    </row>
    <row r="525" spans="1:13">
      <c r="A525" s="137">
        <v>27</v>
      </c>
      <c r="C525" s="37" t="s">
        <v>357</v>
      </c>
      <c r="D525" s="81" t="s">
        <v>43</v>
      </c>
      <c r="E525" s="32"/>
      <c r="F525" s="262"/>
      <c r="G525" s="35">
        <f t="shared" si="139"/>
        <v>0</v>
      </c>
      <c r="H525" s="35">
        <f t="shared" si="140"/>
        <v>0</v>
      </c>
      <c r="I525" s="34">
        <f t="shared" si="141"/>
        <v>0</v>
      </c>
      <c r="J525" s="146">
        <f t="shared" si="142"/>
        <v>0</v>
      </c>
      <c r="K525" s="146">
        <f t="shared" si="143"/>
        <v>0</v>
      </c>
      <c r="L525" s="287"/>
      <c r="M525" s="308">
        <f t="shared" si="144"/>
        <v>0</v>
      </c>
    </row>
    <row r="526" spans="1:13">
      <c r="A526" s="137">
        <v>28</v>
      </c>
      <c r="C526" s="37" t="s">
        <v>356</v>
      </c>
      <c r="D526" s="81" t="s">
        <v>43</v>
      </c>
      <c r="E526" s="32"/>
      <c r="F526" s="262"/>
      <c r="G526" s="35">
        <f t="shared" si="139"/>
        <v>0</v>
      </c>
      <c r="H526" s="35">
        <f t="shared" si="140"/>
        <v>0</v>
      </c>
      <c r="I526" s="34">
        <f t="shared" si="141"/>
        <v>0</v>
      </c>
      <c r="J526" s="146">
        <f t="shared" si="142"/>
        <v>0</v>
      </c>
      <c r="K526" s="146">
        <f t="shared" si="143"/>
        <v>0</v>
      </c>
      <c r="L526" s="287"/>
      <c r="M526" s="308">
        <f t="shared" si="144"/>
        <v>0</v>
      </c>
    </row>
    <row r="527" spans="1:13">
      <c r="A527" s="137">
        <v>29</v>
      </c>
      <c r="C527" s="37" t="s">
        <v>355</v>
      </c>
      <c r="D527" s="81" t="s">
        <v>72</v>
      </c>
      <c r="E527" s="32"/>
      <c r="F527" s="262"/>
      <c r="G527" s="35">
        <f t="shared" si="139"/>
        <v>0</v>
      </c>
      <c r="H527" s="35">
        <f t="shared" si="140"/>
        <v>0</v>
      </c>
      <c r="I527" s="34">
        <f t="shared" si="141"/>
        <v>0</v>
      </c>
      <c r="J527" s="146">
        <f t="shared" si="142"/>
        <v>0</v>
      </c>
      <c r="K527" s="146">
        <f t="shared" si="143"/>
        <v>0</v>
      </c>
      <c r="L527" s="287"/>
      <c r="M527" s="308">
        <f t="shared" si="144"/>
        <v>0</v>
      </c>
    </row>
    <row r="528" spans="1:13">
      <c r="A528" s="137">
        <v>30</v>
      </c>
      <c r="C528" s="37" t="s">
        <v>354</v>
      </c>
      <c r="D528" s="81" t="s">
        <v>43</v>
      </c>
      <c r="E528" s="32"/>
      <c r="F528" s="262"/>
      <c r="G528" s="35">
        <f t="shared" si="139"/>
        <v>0</v>
      </c>
      <c r="H528" s="35">
        <f t="shared" si="140"/>
        <v>0</v>
      </c>
      <c r="I528" s="34">
        <f t="shared" si="141"/>
        <v>0</v>
      </c>
      <c r="J528" s="146">
        <f t="shared" si="142"/>
        <v>0</v>
      </c>
      <c r="K528" s="146">
        <f t="shared" si="143"/>
        <v>0</v>
      </c>
      <c r="L528" s="287"/>
      <c r="M528" s="308">
        <f t="shared" si="144"/>
        <v>0</v>
      </c>
    </row>
    <row r="529" spans="1:13">
      <c r="A529" s="137">
        <v>31</v>
      </c>
      <c r="C529" s="37" t="s">
        <v>353</v>
      </c>
      <c r="D529" s="81" t="s">
        <v>43</v>
      </c>
      <c r="E529" s="32"/>
      <c r="F529" s="262">
        <f>[4]SCH_D1!$W$223</f>
        <v>463931</v>
      </c>
      <c r="G529" s="35">
        <f t="shared" si="139"/>
        <v>272401</v>
      </c>
      <c r="H529" s="35">
        <f t="shared" si="140"/>
        <v>24519</v>
      </c>
      <c r="I529" s="34">
        <f t="shared" si="141"/>
        <v>167011</v>
      </c>
      <c r="J529" s="146">
        <f t="shared" si="142"/>
        <v>463931</v>
      </c>
      <c r="K529" s="146">
        <f t="shared" si="143"/>
        <v>0</v>
      </c>
      <c r="L529" s="287">
        <v>463931</v>
      </c>
      <c r="M529" s="308">
        <f t="shared" si="144"/>
        <v>0</v>
      </c>
    </row>
    <row r="530" spans="1:13">
      <c r="A530" s="137">
        <v>32</v>
      </c>
      <c r="C530" s="217" t="s">
        <v>352</v>
      </c>
      <c r="D530" s="81" t="s">
        <v>43</v>
      </c>
      <c r="E530" s="32"/>
      <c r="F530" s="262">
        <f>[4]SCH_D1!$AC$347</f>
        <v>6247623</v>
      </c>
      <c r="G530" s="35">
        <f t="shared" si="139"/>
        <v>3668354</v>
      </c>
      <c r="H530" s="35">
        <f t="shared" si="140"/>
        <v>330187</v>
      </c>
      <c r="I530" s="34">
        <f t="shared" si="141"/>
        <v>2249082</v>
      </c>
      <c r="J530" s="146">
        <f t="shared" si="142"/>
        <v>6247623</v>
      </c>
      <c r="K530" s="146">
        <f t="shared" si="143"/>
        <v>0</v>
      </c>
      <c r="L530" s="287">
        <v>6247623</v>
      </c>
      <c r="M530" s="308">
        <f t="shared" si="144"/>
        <v>0</v>
      </c>
    </row>
    <row r="531" spans="1:13">
      <c r="A531" s="137">
        <v>33</v>
      </c>
      <c r="C531" s="224" t="s">
        <v>351</v>
      </c>
      <c r="D531" s="12"/>
      <c r="E531" s="32" t="s">
        <v>3</v>
      </c>
      <c r="F531" s="260">
        <f t="shared" ref="F531:K531" si="145">SUM(F516:F530)</f>
        <v>24934291</v>
      </c>
      <c r="G531" s="151">
        <f t="shared" si="145"/>
        <v>14640304</v>
      </c>
      <c r="H531" s="151">
        <f t="shared" si="145"/>
        <v>1317814</v>
      </c>
      <c r="I531" s="150">
        <f t="shared" si="145"/>
        <v>8976173</v>
      </c>
      <c r="J531" s="5">
        <f t="shared" si="145"/>
        <v>24934291</v>
      </c>
      <c r="K531" s="5">
        <f t="shared" si="145"/>
        <v>0</v>
      </c>
      <c r="L531" s="307">
        <v>24934291</v>
      </c>
      <c r="M531" s="308">
        <f t="shared" si="144"/>
        <v>0</v>
      </c>
    </row>
    <row r="532" spans="1:13">
      <c r="A532" s="137">
        <v>34</v>
      </c>
      <c r="D532" s="12"/>
      <c r="E532" s="32"/>
      <c r="F532" s="261"/>
      <c r="G532" s="35"/>
      <c r="H532" s="35"/>
      <c r="I532" s="34"/>
      <c r="J532" s="146"/>
      <c r="K532" s="146"/>
      <c r="L532" s="300"/>
      <c r="M532" s="308">
        <f t="shared" si="144"/>
        <v>0</v>
      </c>
    </row>
    <row r="533" spans="1:13">
      <c r="A533" s="137">
        <v>35</v>
      </c>
      <c r="C533" s="3" t="s">
        <v>350</v>
      </c>
      <c r="D533" s="12"/>
      <c r="E533" s="32"/>
      <c r="F533" s="259">
        <f t="shared" ref="F533:K533" si="146">F531+F506+F502+F487+F476+F454+F450+F443</f>
        <v>220652209</v>
      </c>
      <c r="G533" s="148">
        <f t="shared" si="146"/>
        <v>170336881</v>
      </c>
      <c r="H533" s="148">
        <f t="shared" si="146"/>
        <v>22973313</v>
      </c>
      <c r="I533" s="147">
        <f t="shared" si="146"/>
        <v>27342015</v>
      </c>
      <c r="J533" s="146">
        <f t="shared" si="146"/>
        <v>220652209</v>
      </c>
      <c r="K533" s="146">
        <f t="shared" si="146"/>
        <v>0</v>
      </c>
      <c r="L533" s="298">
        <v>220652209</v>
      </c>
      <c r="M533" s="308">
        <f t="shared" si="144"/>
        <v>0</v>
      </c>
    </row>
    <row r="534" spans="1:13">
      <c r="B534" s="67"/>
      <c r="C534" s="32"/>
      <c r="D534" s="12"/>
      <c r="E534" s="32"/>
      <c r="F534" s="255"/>
      <c r="G534" s="27"/>
      <c r="H534" s="27"/>
      <c r="I534" s="27"/>
      <c r="J534" s="27"/>
      <c r="K534" s="27"/>
      <c r="L534" s="253"/>
      <c r="M534" s="308">
        <f t="shared" si="144"/>
        <v>0</v>
      </c>
    </row>
    <row r="535" spans="1:13">
      <c r="A535" s="67" t="str">
        <f>co_name</f>
        <v>DUKE ENERGY KENTUCKY, INC.</v>
      </c>
      <c r="C535" s="32"/>
      <c r="D535" s="12"/>
      <c r="E535" s="32"/>
      <c r="F535" s="255"/>
      <c r="G535" s="27"/>
      <c r="H535" s="27"/>
      <c r="I535" s="27"/>
      <c r="J535" s="27" t="str">
        <f>J1</f>
        <v>FR-16(7)(v)-1</v>
      </c>
      <c r="K535" s="27"/>
      <c r="L535" s="253"/>
      <c r="M535" s="308">
        <f t="shared" si="144"/>
        <v>0</v>
      </c>
    </row>
    <row r="536" spans="1:13">
      <c r="A536" s="67" t="str">
        <f>$A$2</f>
        <v>FUNCTIONAL ELECTRIC COST OF SERVICE</v>
      </c>
      <c r="C536" s="32"/>
      <c r="D536" s="12"/>
      <c r="E536" s="32"/>
      <c r="F536" s="255"/>
      <c r="G536" s="27"/>
      <c r="H536" s="27"/>
      <c r="I536" s="27"/>
      <c r="J536" s="27" t="str">
        <f>J2</f>
        <v>WITNESS RESPONSIBLE:</v>
      </c>
      <c r="K536" s="27"/>
      <c r="L536" s="253"/>
      <c r="M536" s="308">
        <f t="shared" si="144"/>
        <v>0</v>
      </c>
    </row>
    <row r="537" spans="1:13">
      <c r="A537" s="67" t="str">
        <f>case_name</f>
        <v>CASE NO: 2017-00321</v>
      </c>
      <c r="C537" s="32"/>
      <c r="D537" s="12"/>
      <c r="E537" s="32"/>
      <c r="F537" s="255"/>
      <c r="G537" s="27"/>
      <c r="H537" s="27"/>
      <c r="I537" s="27"/>
      <c r="J537" s="27" t="str">
        <f>Witness</f>
        <v>JAMES E. ZIOLKOWSKI</v>
      </c>
      <c r="K537" s="27"/>
      <c r="L537" s="253"/>
      <c r="M537" s="308">
        <f t="shared" si="144"/>
        <v>0</v>
      </c>
    </row>
    <row r="538" spans="1:13">
      <c r="A538" s="67" t="str">
        <f>data_filing</f>
        <v>DATA: 12 MONTHS ACTUAL  &amp; 0 MONTHS ESTIMATED</v>
      </c>
      <c r="C538" s="32"/>
      <c r="D538" s="12"/>
      <c r="E538" s="32"/>
      <c r="F538" s="255"/>
      <c r="G538" s="27"/>
      <c r="H538" s="27"/>
      <c r="I538" s="27"/>
      <c r="J538" s="27" t="str">
        <f>"PAGE "&amp;Pages-8&amp;" OF "&amp;Pages</f>
        <v>PAGE 10 OF 18</v>
      </c>
      <c r="K538" s="27"/>
      <c r="L538" s="253"/>
      <c r="M538" s="308">
        <f t="shared" si="144"/>
        <v>0</v>
      </c>
    </row>
    <row r="539" spans="1:13">
      <c r="A539" s="67" t="str">
        <f>type</f>
        <v xml:space="preserve">TYPE OF FILING: "X" ORIGINAL   UPDATED    REVISED  </v>
      </c>
      <c r="C539" s="32"/>
      <c r="D539" s="12"/>
      <c r="E539" s="32"/>
      <c r="F539" s="255"/>
      <c r="G539" s="27"/>
      <c r="H539" s="27"/>
      <c r="I539" s="27"/>
      <c r="J539" s="27"/>
      <c r="K539" s="27"/>
      <c r="L539" s="253"/>
      <c r="M539" s="308">
        <f t="shared" si="144"/>
        <v>0</v>
      </c>
    </row>
    <row r="540" spans="1:13">
      <c r="B540" s="67"/>
      <c r="C540" s="32"/>
      <c r="D540" s="12"/>
      <c r="E540" s="32"/>
      <c r="F540" s="255"/>
      <c r="G540" s="27"/>
      <c r="H540" s="27"/>
      <c r="I540" s="27"/>
      <c r="J540" s="27"/>
      <c r="K540" s="27"/>
      <c r="L540" s="253"/>
      <c r="M540" s="308">
        <f t="shared" si="144"/>
        <v>0</v>
      </c>
    </row>
    <row r="541" spans="1:13">
      <c r="B541" s="67"/>
      <c r="C541" s="32"/>
      <c r="D541" s="12"/>
      <c r="E541" s="32"/>
      <c r="F541" s="255"/>
      <c r="G541" s="27"/>
      <c r="H541" s="27"/>
      <c r="I541" s="27"/>
      <c r="J541" s="27"/>
      <c r="K541" s="27"/>
      <c r="L541" s="253"/>
      <c r="M541" s="308">
        <f t="shared" si="144"/>
        <v>0</v>
      </c>
    </row>
    <row r="542" spans="1:13">
      <c r="A542" s="8" t="s">
        <v>91</v>
      </c>
      <c r="B542" s="27"/>
      <c r="C542" s="32"/>
      <c r="D542" s="12"/>
      <c r="E542" s="32"/>
      <c r="F542" s="256" t="s">
        <v>1</v>
      </c>
      <c r="G542" s="65" t="s">
        <v>90</v>
      </c>
      <c r="H542" s="65"/>
      <c r="I542" s="64"/>
      <c r="J542" s="8" t="s">
        <v>1</v>
      </c>
      <c r="K542" s="8" t="s">
        <v>89</v>
      </c>
      <c r="L542" s="284" t="s">
        <v>1</v>
      </c>
      <c r="M542" s="308" t="e">
        <f t="shared" si="144"/>
        <v>#VALUE!</v>
      </c>
    </row>
    <row r="543" spans="1:13">
      <c r="A543" s="57" t="s">
        <v>88</v>
      </c>
      <c r="B543" s="62" t="s">
        <v>349</v>
      </c>
      <c r="C543" s="62"/>
      <c r="D543" s="56" t="s">
        <v>85</v>
      </c>
      <c r="E543" s="62"/>
      <c r="F543" s="264" t="str">
        <f>$F$9</f>
        <v>ELECTRIC</v>
      </c>
      <c r="G543" s="59" t="str">
        <f t="shared" ref="G543:I544" si="147">G9</f>
        <v>PRODUCTION</v>
      </c>
      <c r="H543" s="59" t="str">
        <f t="shared" si="147"/>
        <v>TRANSMISSION</v>
      </c>
      <c r="I543" s="58" t="str">
        <f t="shared" si="147"/>
        <v>DISTRIBUTION</v>
      </c>
      <c r="J543" s="57" t="s">
        <v>84</v>
      </c>
      <c r="K543" s="57" t="s">
        <v>83</v>
      </c>
      <c r="L543" s="285" t="s">
        <v>82</v>
      </c>
      <c r="M543" s="308" t="e">
        <f t="shared" si="144"/>
        <v>#VALUE!</v>
      </c>
    </row>
    <row r="544" spans="1:13">
      <c r="C544" s="144" t="s">
        <v>348</v>
      </c>
      <c r="D544" s="12"/>
      <c r="E544" s="32"/>
      <c r="F544" s="274"/>
      <c r="G544" s="53">
        <f t="shared" si="147"/>
        <v>3</v>
      </c>
      <c r="H544" s="53">
        <f t="shared" si="147"/>
        <v>4</v>
      </c>
      <c r="I544" s="52">
        <f t="shared" si="147"/>
        <v>5</v>
      </c>
      <c r="J544" s="74"/>
      <c r="K544" s="74"/>
      <c r="L544" s="295"/>
      <c r="M544" s="308">
        <f t="shared" si="144"/>
        <v>0</v>
      </c>
    </row>
    <row r="545" spans="1:13">
      <c r="A545" s="137">
        <v>1</v>
      </c>
      <c r="B545" s="3" t="s">
        <v>347</v>
      </c>
      <c r="D545" s="12"/>
      <c r="E545" s="32"/>
      <c r="F545" s="258"/>
      <c r="G545" s="40"/>
      <c r="H545" s="40"/>
      <c r="I545" s="39"/>
      <c r="M545" s="308">
        <f t="shared" si="144"/>
        <v>0</v>
      </c>
    </row>
    <row r="546" spans="1:13">
      <c r="A546" s="137">
        <v>2</v>
      </c>
      <c r="B546" s="3"/>
      <c r="C546" s="217" t="s">
        <v>347</v>
      </c>
      <c r="D546" s="81" t="s">
        <v>123</v>
      </c>
      <c r="E546" s="32"/>
      <c r="F546" s="262">
        <f>'[4]SCH B-3.2 - Proposed'!$L$44+'[4]SCH B-3.2 - Proposed'!$L$91</f>
        <v>31631617</v>
      </c>
      <c r="G546" s="35">
        <f>F546-SUM(H546:I546)</f>
        <v>31631617</v>
      </c>
      <c r="H546" s="35">
        <f>ROUND(F546*VLOOKUP(D546,ALLOCTABLE_FUNCTIONAL,$H$10,FALSE),0)</f>
        <v>0</v>
      </c>
      <c r="I546" s="34">
        <f>ROUND(F546*VLOOKUP(D546,ALLOCTABLE_FUNCTIONAL,$I$10,FALSE),0)</f>
        <v>0</v>
      </c>
      <c r="J546" s="146">
        <f>SUM(G546:I546)</f>
        <v>31631617</v>
      </c>
      <c r="K546" s="146">
        <f>F546-J546</f>
        <v>0</v>
      </c>
      <c r="L546" s="287">
        <v>31631617</v>
      </c>
      <c r="M546" s="308">
        <f t="shared" si="144"/>
        <v>0</v>
      </c>
    </row>
    <row r="547" spans="1:13">
      <c r="A547" s="137">
        <v>3</v>
      </c>
      <c r="B547" s="3"/>
      <c r="C547" s="3" t="s">
        <v>346</v>
      </c>
      <c r="D547" s="81"/>
      <c r="E547" s="32"/>
      <c r="F547" s="260">
        <f t="shared" ref="F547:K547" si="148">SUM(F546:F546)</f>
        <v>31631617</v>
      </c>
      <c r="G547" s="151">
        <f t="shared" si="148"/>
        <v>31631617</v>
      </c>
      <c r="H547" s="151">
        <f t="shared" si="148"/>
        <v>0</v>
      </c>
      <c r="I547" s="150">
        <f t="shared" si="148"/>
        <v>0</v>
      </c>
      <c r="J547" s="5">
        <f t="shared" si="148"/>
        <v>31631617</v>
      </c>
      <c r="K547" s="5">
        <f t="shared" si="148"/>
        <v>0</v>
      </c>
      <c r="L547" s="307">
        <v>31631617</v>
      </c>
      <c r="M547" s="308">
        <f t="shared" si="144"/>
        <v>0</v>
      </c>
    </row>
    <row r="548" spans="1:13">
      <c r="A548" s="137">
        <v>4</v>
      </c>
      <c r="B548" s="3"/>
      <c r="D548" s="81"/>
      <c r="E548" s="32"/>
      <c r="F548" s="261"/>
      <c r="G548" s="40"/>
      <c r="H548" s="40"/>
      <c r="I548" s="39"/>
      <c r="L548" s="300"/>
      <c r="M548" s="308">
        <f t="shared" si="144"/>
        <v>0</v>
      </c>
    </row>
    <row r="549" spans="1:13">
      <c r="A549" s="137">
        <v>5</v>
      </c>
      <c r="B549" s="38" t="s">
        <v>345</v>
      </c>
      <c r="C549" s="38"/>
      <c r="D549" s="81"/>
      <c r="E549" s="32"/>
      <c r="F549" s="259"/>
      <c r="G549" s="35"/>
      <c r="H549" s="35"/>
      <c r="I549" s="34"/>
      <c r="J549" s="146"/>
      <c r="K549" s="146"/>
      <c r="L549" s="298"/>
      <c r="M549" s="308">
        <f t="shared" si="144"/>
        <v>0</v>
      </c>
    </row>
    <row r="550" spans="1:13">
      <c r="A550" s="137">
        <v>6</v>
      </c>
      <c r="B550" s="38"/>
      <c r="C550" s="223" t="s">
        <v>345</v>
      </c>
      <c r="D550" s="81" t="s">
        <v>121</v>
      </c>
      <c r="E550" s="32"/>
      <c r="F550" s="262">
        <f>'[4]SCH B-3.2 - Proposed'!$L$138</f>
        <v>1829174</v>
      </c>
      <c r="G550" s="35">
        <f>F550-SUM(H550:I550)</f>
        <v>0</v>
      </c>
      <c r="H550" s="35">
        <f>ROUND(F550*VLOOKUP(D550,ALLOCTABLE_FUNCTIONAL,$H$10,FALSE),0)</f>
        <v>1829174</v>
      </c>
      <c r="I550" s="34">
        <f>ROUND(F550*VLOOKUP(D550,ALLOCTABLE_FUNCTIONAL,$I$10,FALSE),0)</f>
        <v>0</v>
      </c>
      <c r="J550" s="146">
        <f>SUM(G550:I550)</f>
        <v>1829174</v>
      </c>
      <c r="K550" s="146">
        <f>F550-J550</f>
        <v>0</v>
      </c>
      <c r="L550" s="287">
        <v>1829174</v>
      </c>
      <c r="M550" s="308">
        <f t="shared" si="144"/>
        <v>0</v>
      </c>
    </row>
    <row r="551" spans="1:13">
      <c r="A551" s="137">
        <v>7</v>
      </c>
      <c r="B551" s="3"/>
      <c r="C551" s="152" t="s">
        <v>344</v>
      </c>
      <c r="D551" s="81"/>
      <c r="E551" s="32"/>
      <c r="F551" s="260">
        <f t="shared" ref="F551:K551" si="149">SUM(F550:F550)</f>
        <v>1829174</v>
      </c>
      <c r="G551" s="151">
        <f t="shared" si="149"/>
        <v>0</v>
      </c>
      <c r="H551" s="151">
        <f t="shared" si="149"/>
        <v>1829174</v>
      </c>
      <c r="I551" s="150">
        <f t="shared" si="149"/>
        <v>0</v>
      </c>
      <c r="J551" s="5">
        <f t="shared" si="149"/>
        <v>1829174</v>
      </c>
      <c r="K551" s="5">
        <f t="shared" si="149"/>
        <v>0</v>
      </c>
      <c r="L551" s="307">
        <v>1829174</v>
      </c>
      <c r="M551" s="308">
        <f t="shared" si="144"/>
        <v>0</v>
      </c>
    </row>
    <row r="552" spans="1:13">
      <c r="A552" s="137">
        <v>8</v>
      </c>
      <c r="B552" s="3"/>
      <c r="D552" s="81"/>
      <c r="E552" s="32"/>
      <c r="F552" s="261"/>
      <c r="G552" s="40"/>
      <c r="H552" s="40"/>
      <c r="I552" s="39"/>
      <c r="L552" s="300"/>
      <c r="M552" s="308">
        <f t="shared" si="144"/>
        <v>0</v>
      </c>
    </row>
    <row r="553" spans="1:13">
      <c r="A553" s="137">
        <v>9</v>
      </c>
      <c r="B553" s="3" t="s">
        <v>343</v>
      </c>
      <c r="D553" s="81"/>
      <c r="E553" s="32"/>
      <c r="F553" s="261"/>
      <c r="G553" s="40"/>
      <c r="H553" s="40"/>
      <c r="I553" s="39"/>
      <c r="L553" s="300"/>
      <c r="M553" s="308">
        <f t="shared" si="144"/>
        <v>0</v>
      </c>
    </row>
    <row r="554" spans="1:13">
      <c r="A554" s="137">
        <v>10</v>
      </c>
      <c r="B554" s="3"/>
      <c r="C554" s="217" t="s">
        <v>343</v>
      </c>
      <c r="D554" s="81" t="s">
        <v>117</v>
      </c>
      <c r="E554" s="32"/>
      <c r="F554" s="262">
        <f>'[4]SCH B-3.2 - Proposed'!$L$196</f>
        <v>14391125</v>
      </c>
      <c r="G554" s="35">
        <f>F554-SUM(H554:I554)</f>
        <v>0</v>
      </c>
      <c r="H554" s="35">
        <f>ROUND(F554*VLOOKUP(D554,ALLOCTABLE_FUNCTIONAL,$H$10,FALSE),0)</f>
        <v>2878</v>
      </c>
      <c r="I554" s="34">
        <f>ROUND(F554*VLOOKUP(D554,ALLOCTABLE_FUNCTIONAL,$I$10,FALSE),0)</f>
        <v>14388247</v>
      </c>
      <c r="J554" s="146">
        <f>SUM(G554:I554)</f>
        <v>14391125</v>
      </c>
      <c r="K554" s="146">
        <f>F554-J554</f>
        <v>0</v>
      </c>
      <c r="L554" s="287">
        <v>14391125</v>
      </c>
      <c r="M554" s="308">
        <f t="shared" si="144"/>
        <v>0</v>
      </c>
    </row>
    <row r="555" spans="1:13">
      <c r="A555" s="137">
        <v>11</v>
      </c>
      <c r="B555" s="3"/>
      <c r="C555" s="3" t="s">
        <v>342</v>
      </c>
      <c r="D555" s="81"/>
      <c r="E555" s="32"/>
      <c r="F555" s="260">
        <f t="shared" ref="F555:K555" si="150">SUM(F554:F554)</f>
        <v>14391125</v>
      </c>
      <c r="G555" s="151">
        <f t="shared" si="150"/>
        <v>0</v>
      </c>
      <c r="H555" s="151">
        <f t="shared" si="150"/>
        <v>2878</v>
      </c>
      <c r="I555" s="150">
        <f t="shared" si="150"/>
        <v>14388247</v>
      </c>
      <c r="J555" s="5">
        <f t="shared" si="150"/>
        <v>14391125</v>
      </c>
      <c r="K555" s="5">
        <f t="shared" si="150"/>
        <v>0</v>
      </c>
      <c r="L555" s="307">
        <v>14391125</v>
      </c>
      <c r="M555" s="308">
        <f t="shared" si="144"/>
        <v>0</v>
      </c>
    </row>
    <row r="556" spans="1:13">
      <c r="A556" s="137">
        <v>12</v>
      </c>
      <c r="B556" s="3"/>
      <c r="D556" s="81"/>
      <c r="E556" s="32"/>
      <c r="F556" s="261" t="s">
        <v>3</v>
      </c>
      <c r="G556" s="40"/>
      <c r="H556" s="40"/>
      <c r="I556" s="39"/>
      <c r="L556" s="300" t="s">
        <v>3</v>
      </c>
      <c r="M556" s="308" t="e">
        <f t="shared" si="144"/>
        <v>#VALUE!</v>
      </c>
    </row>
    <row r="557" spans="1:13">
      <c r="A557" s="137">
        <v>13</v>
      </c>
      <c r="B557" s="3" t="s">
        <v>341</v>
      </c>
      <c r="D557" s="81"/>
      <c r="E557" s="32"/>
      <c r="F557" s="261"/>
      <c r="G557" s="40"/>
      <c r="H557" s="40"/>
      <c r="I557" s="39"/>
      <c r="L557" s="300"/>
      <c r="M557" s="308">
        <f t="shared" si="144"/>
        <v>0</v>
      </c>
    </row>
    <row r="558" spans="1:13">
      <c r="A558" s="137">
        <v>14</v>
      </c>
      <c r="B558" s="3"/>
      <c r="C558" s="217" t="s">
        <v>341</v>
      </c>
      <c r="D558" s="81" t="s">
        <v>113</v>
      </c>
      <c r="E558" s="32"/>
      <c r="F558" s="262">
        <f>'[4]SCH B-3.2 - Proposed'!$L$245</f>
        <v>2845247</v>
      </c>
      <c r="G558" s="35">
        <f>F558-SUM(H558:I558)</f>
        <v>2061723</v>
      </c>
      <c r="H558" s="35">
        <f>ROUND(F558*VLOOKUP(D558,ALLOCTABLE_FUNCTIONAL,$H$10,FALSE),0)</f>
        <v>150343</v>
      </c>
      <c r="I558" s="34">
        <f>ROUND(F558*VLOOKUP(D558,ALLOCTABLE_FUNCTIONAL,$I$10,FALSE),0)</f>
        <v>633181</v>
      </c>
      <c r="J558" s="146">
        <f>SUM(G558:I558)</f>
        <v>2845247</v>
      </c>
      <c r="K558" s="146">
        <f>F558-J558</f>
        <v>0</v>
      </c>
      <c r="L558" s="287">
        <v>2845247</v>
      </c>
      <c r="M558" s="308">
        <f t="shared" si="144"/>
        <v>0</v>
      </c>
    </row>
    <row r="559" spans="1:13">
      <c r="A559" s="137">
        <v>15</v>
      </c>
      <c r="B559" s="3"/>
      <c r="C559" s="3" t="s">
        <v>340</v>
      </c>
      <c r="D559" s="81"/>
      <c r="E559" s="32"/>
      <c r="F559" s="260">
        <f t="shared" ref="F559:K559" si="151">SUM(F558:F558)</f>
        <v>2845247</v>
      </c>
      <c r="G559" s="151">
        <f t="shared" si="151"/>
        <v>2061723</v>
      </c>
      <c r="H559" s="151">
        <f t="shared" si="151"/>
        <v>150343</v>
      </c>
      <c r="I559" s="150">
        <f t="shared" si="151"/>
        <v>633181</v>
      </c>
      <c r="J559" s="5">
        <f t="shared" si="151"/>
        <v>2845247</v>
      </c>
      <c r="K559" s="5">
        <f t="shared" si="151"/>
        <v>0</v>
      </c>
      <c r="L559" s="307">
        <v>2845247</v>
      </c>
      <c r="M559" s="308">
        <f t="shared" si="144"/>
        <v>0</v>
      </c>
    </row>
    <row r="560" spans="1:13">
      <c r="A560" s="137">
        <v>16</v>
      </c>
      <c r="B560" s="3"/>
      <c r="D560" s="81"/>
      <c r="E560" s="32"/>
      <c r="F560" s="261"/>
      <c r="G560" s="40"/>
      <c r="H560" s="40"/>
      <c r="I560" s="39"/>
      <c r="L560" s="300"/>
      <c r="M560" s="308">
        <f t="shared" si="144"/>
        <v>0</v>
      </c>
    </row>
    <row r="561" spans="1:13">
      <c r="A561" s="137">
        <v>17</v>
      </c>
      <c r="B561" s="3" t="s">
        <v>339</v>
      </c>
      <c r="D561" s="81"/>
      <c r="E561" s="32"/>
      <c r="F561" s="262"/>
      <c r="G561" s="35"/>
      <c r="H561" s="35"/>
      <c r="I561" s="34"/>
      <c r="J561" s="146"/>
      <c r="K561" s="146"/>
      <c r="L561" s="287"/>
      <c r="M561" s="308">
        <f t="shared" si="144"/>
        <v>0</v>
      </c>
    </row>
    <row r="562" spans="1:13">
      <c r="A562" s="137">
        <v>18</v>
      </c>
      <c r="B562" s="3"/>
      <c r="C562" s="217" t="s">
        <v>338</v>
      </c>
      <c r="D562" s="81" t="s">
        <v>111</v>
      </c>
      <c r="E562" s="32"/>
      <c r="F562" s="262">
        <f>'[4]SCH B-3.2 - Proposed'!$L$304+[4]SCH_D2.21!$H$24</f>
        <v>272151</v>
      </c>
      <c r="G562" s="35">
        <f>F562-SUM(H562:I562)</f>
        <v>191608</v>
      </c>
      <c r="H562" s="35">
        <f>ROUND(F562*VLOOKUP(D562,ALLOCTABLE_FUNCTIONAL,$H$10,FALSE),0)</f>
        <v>14380</v>
      </c>
      <c r="I562" s="34">
        <f>ROUND(F562*VLOOKUP(D562,ALLOCTABLE_FUNCTIONAL,$I$10,FALSE),0)</f>
        <v>66163</v>
      </c>
      <c r="J562" s="146">
        <f>SUM(G562:I562)</f>
        <v>272151</v>
      </c>
      <c r="K562" s="146">
        <f>F562-J562</f>
        <v>0</v>
      </c>
      <c r="L562" s="287">
        <v>272151</v>
      </c>
      <c r="M562" s="308">
        <f t="shared" si="144"/>
        <v>0</v>
      </c>
    </row>
    <row r="563" spans="1:13">
      <c r="A563" s="137">
        <v>19</v>
      </c>
      <c r="B563" s="3"/>
      <c r="C563" s="3" t="s">
        <v>337</v>
      </c>
      <c r="D563" s="81"/>
      <c r="E563" s="32"/>
      <c r="F563" s="260">
        <f t="shared" ref="F563:K563" si="152">SUM(F562:F562)</f>
        <v>272151</v>
      </c>
      <c r="G563" s="151">
        <f t="shared" si="152"/>
        <v>191608</v>
      </c>
      <c r="H563" s="151">
        <f t="shared" si="152"/>
        <v>14380</v>
      </c>
      <c r="I563" s="150">
        <f t="shared" si="152"/>
        <v>66163</v>
      </c>
      <c r="J563" s="5">
        <f t="shared" si="152"/>
        <v>272151</v>
      </c>
      <c r="K563" s="5">
        <f t="shared" si="152"/>
        <v>0</v>
      </c>
      <c r="L563" s="307">
        <v>272151</v>
      </c>
      <c r="M563" s="308">
        <f t="shared" si="144"/>
        <v>0</v>
      </c>
    </row>
    <row r="564" spans="1:13">
      <c r="A564" s="137">
        <v>20</v>
      </c>
      <c r="B564" s="3"/>
      <c r="D564" s="13"/>
      <c r="E564" s="32"/>
      <c r="F564" s="258"/>
      <c r="G564" s="40"/>
      <c r="H564" s="40"/>
      <c r="I564" s="39"/>
      <c r="M564" s="308">
        <f t="shared" si="144"/>
        <v>0</v>
      </c>
    </row>
    <row r="565" spans="1:13">
      <c r="A565" s="137">
        <v>21</v>
      </c>
      <c r="B565" s="3"/>
      <c r="D565" s="12"/>
      <c r="E565" s="32"/>
      <c r="F565" s="258"/>
      <c r="G565" s="40"/>
      <c r="H565" s="40"/>
      <c r="I565" s="39"/>
      <c r="M565" s="308">
        <f t="shared" si="144"/>
        <v>0</v>
      </c>
    </row>
    <row r="566" spans="1:13">
      <c r="A566" s="137">
        <v>22</v>
      </c>
      <c r="B566" s="3" t="s">
        <v>320</v>
      </c>
      <c r="D566" s="12"/>
      <c r="E566" s="3" t="s">
        <v>3</v>
      </c>
      <c r="F566" s="259">
        <f t="shared" ref="F566:K566" si="153">F563+F559+F555+F551+F547</f>
        <v>50969314</v>
      </c>
      <c r="G566" s="148">
        <f t="shared" si="153"/>
        <v>33884948</v>
      </c>
      <c r="H566" s="148">
        <f t="shared" si="153"/>
        <v>1996775</v>
      </c>
      <c r="I566" s="147">
        <f t="shared" si="153"/>
        <v>15087591</v>
      </c>
      <c r="J566" s="146">
        <f t="shared" si="153"/>
        <v>50969314</v>
      </c>
      <c r="K566" s="146">
        <f t="shared" si="153"/>
        <v>0</v>
      </c>
      <c r="L566" s="298">
        <v>50969314</v>
      </c>
      <c r="M566" s="308">
        <f t="shared" si="144"/>
        <v>0</v>
      </c>
    </row>
    <row r="567" spans="1:13">
      <c r="B567" s="67"/>
      <c r="C567" s="32"/>
      <c r="D567" s="12"/>
      <c r="E567" s="32"/>
      <c r="F567" s="255"/>
      <c r="G567" s="27"/>
      <c r="H567" s="27"/>
      <c r="I567" s="27"/>
      <c r="J567" s="27"/>
      <c r="K567" s="27"/>
      <c r="L567" s="253"/>
      <c r="M567" s="308">
        <f t="shared" si="144"/>
        <v>0</v>
      </c>
    </row>
    <row r="568" spans="1:13">
      <c r="A568" s="67" t="str">
        <f>co_name</f>
        <v>DUKE ENERGY KENTUCKY, INC.</v>
      </c>
      <c r="C568" s="32"/>
      <c r="D568" s="12"/>
      <c r="E568" s="32"/>
      <c r="F568" s="255"/>
      <c r="G568" s="27"/>
      <c r="H568" s="27"/>
      <c r="I568" s="27"/>
      <c r="J568" s="27" t="str">
        <f>J1</f>
        <v>FR-16(7)(v)-1</v>
      </c>
      <c r="K568" s="27"/>
      <c r="L568" s="253"/>
      <c r="M568" s="308">
        <f t="shared" si="144"/>
        <v>0</v>
      </c>
    </row>
    <row r="569" spans="1:13">
      <c r="A569" s="67" t="str">
        <f>$A$2</f>
        <v>FUNCTIONAL ELECTRIC COST OF SERVICE</v>
      </c>
      <c r="C569" s="32"/>
      <c r="D569" s="12"/>
      <c r="E569" s="32"/>
      <c r="F569" s="255"/>
      <c r="G569" s="27"/>
      <c r="H569" s="27"/>
      <c r="I569" s="27"/>
      <c r="J569" s="27" t="str">
        <f>J2</f>
        <v>WITNESS RESPONSIBLE:</v>
      </c>
      <c r="K569" s="27"/>
      <c r="L569" s="253"/>
      <c r="M569" s="308">
        <f t="shared" si="144"/>
        <v>0</v>
      </c>
    </row>
    <row r="570" spans="1:13">
      <c r="A570" s="67" t="str">
        <f>case_name</f>
        <v>CASE NO: 2017-00321</v>
      </c>
      <c r="C570" s="32"/>
      <c r="D570" s="12"/>
      <c r="E570" s="32"/>
      <c r="F570" s="255"/>
      <c r="G570" s="27"/>
      <c r="H570" s="27"/>
      <c r="I570" s="27"/>
      <c r="J570" s="27" t="str">
        <f>Witness</f>
        <v>JAMES E. ZIOLKOWSKI</v>
      </c>
      <c r="K570" s="27"/>
      <c r="L570" s="253"/>
      <c r="M570" s="308">
        <f t="shared" si="144"/>
        <v>0</v>
      </c>
    </row>
    <row r="571" spans="1:13">
      <c r="A571" s="67" t="str">
        <f>data_filing</f>
        <v>DATA: 12 MONTHS ACTUAL  &amp; 0 MONTHS ESTIMATED</v>
      </c>
      <c r="C571" s="32"/>
      <c r="D571" s="12"/>
      <c r="E571" s="32"/>
      <c r="F571" s="255"/>
      <c r="G571" s="27"/>
      <c r="H571" s="27"/>
      <c r="I571" s="27"/>
      <c r="J571" s="27" t="str">
        <f>"PAGE "&amp;Pages-7&amp;" OF "&amp;Pages</f>
        <v>PAGE 11 OF 18</v>
      </c>
      <c r="K571" s="27"/>
      <c r="L571" s="253"/>
      <c r="M571" s="308">
        <f t="shared" si="144"/>
        <v>0</v>
      </c>
    </row>
    <row r="572" spans="1:13">
      <c r="A572" s="67" t="str">
        <f>type</f>
        <v xml:space="preserve">TYPE OF FILING: "X" ORIGINAL   UPDATED    REVISED  </v>
      </c>
      <c r="C572" s="32"/>
      <c r="D572" s="12"/>
      <c r="E572" s="32"/>
      <c r="F572" s="255"/>
      <c r="G572" s="27"/>
      <c r="H572" s="27"/>
      <c r="I572" s="27"/>
      <c r="J572" s="27"/>
      <c r="K572" s="27"/>
      <c r="L572" s="253"/>
      <c r="M572" s="308">
        <f t="shared" si="144"/>
        <v>0</v>
      </c>
    </row>
    <row r="573" spans="1:13">
      <c r="B573" s="67"/>
      <c r="C573" s="32"/>
      <c r="D573" s="12"/>
      <c r="E573" s="32"/>
      <c r="F573" s="255"/>
      <c r="G573" s="27"/>
      <c r="H573" s="27"/>
      <c r="I573" s="27"/>
      <c r="J573" s="27"/>
      <c r="K573" s="27"/>
      <c r="L573" s="253"/>
      <c r="M573" s="308">
        <f t="shared" si="144"/>
        <v>0</v>
      </c>
    </row>
    <row r="574" spans="1:13">
      <c r="B574" s="67"/>
      <c r="C574" s="32"/>
      <c r="D574" s="12"/>
      <c r="E574" s="32"/>
      <c r="F574" s="255"/>
      <c r="G574" s="27"/>
      <c r="H574" s="27"/>
      <c r="I574" s="27"/>
      <c r="J574" s="27"/>
      <c r="K574" s="27"/>
      <c r="L574" s="253"/>
      <c r="M574" s="308">
        <f t="shared" si="144"/>
        <v>0</v>
      </c>
    </row>
    <row r="575" spans="1:13">
      <c r="A575" s="8" t="s">
        <v>91</v>
      </c>
      <c r="B575" s="27"/>
      <c r="C575" s="32"/>
      <c r="D575" s="12"/>
      <c r="E575" s="32"/>
      <c r="F575" s="256" t="s">
        <v>1</v>
      </c>
      <c r="G575" s="65" t="s">
        <v>90</v>
      </c>
      <c r="H575" s="65"/>
      <c r="I575" s="64"/>
      <c r="J575" s="8" t="s">
        <v>1</v>
      </c>
      <c r="K575" s="8" t="s">
        <v>89</v>
      </c>
      <c r="L575" s="284" t="s">
        <v>1</v>
      </c>
      <c r="M575" s="308" t="e">
        <f t="shared" si="144"/>
        <v>#VALUE!</v>
      </c>
    </row>
    <row r="576" spans="1:13">
      <c r="A576" s="57" t="s">
        <v>88</v>
      </c>
      <c r="B576" s="145" t="s">
        <v>28</v>
      </c>
      <c r="C576" s="62"/>
      <c r="D576" s="56" t="s">
        <v>85</v>
      </c>
      <c r="E576" s="62"/>
      <c r="F576" s="264" t="str">
        <f>$F$9</f>
        <v>ELECTRIC</v>
      </c>
      <c r="G576" s="59" t="str">
        <f t="shared" ref="G576:I577" si="154">G9</f>
        <v>PRODUCTION</v>
      </c>
      <c r="H576" s="59" t="str">
        <f t="shared" si="154"/>
        <v>TRANSMISSION</v>
      </c>
      <c r="I576" s="58" t="str">
        <f t="shared" si="154"/>
        <v>DISTRIBUTION</v>
      </c>
      <c r="J576" s="57" t="s">
        <v>84</v>
      </c>
      <c r="K576" s="57" t="s">
        <v>83</v>
      </c>
      <c r="L576" s="285" t="s">
        <v>82</v>
      </c>
      <c r="M576" s="308" t="e">
        <f t="shared" si="144"/>
        <v>#VALUE!</v>
      </c>
    </row>
    <row r="577" spans="1:15">
      <c r="C577" s="144" t="s">
        <v>336</v>
      </c>
      <c r="D577" s="12"/>
      <c r="E577" s="32"/>
      <c r="F577" s="274"/>
      <c r="G577" s="53">
        <f t="shared" si="154"/>
        <v>3</v>
      </c>
      <c r="H577" s="53">
        <f t="shared" si="154"/>
        <v>4</v>
      </c>
      <c r="I577" s="52">
        <f t="shared" si="154"/>
        <v>5</v>
      </c>
      <c r="J577" s="74"/>
      <c r="K577" s="74"/>
      <c r="L577" s="295"/>
      <c r="M577" s="308">
        <f t="shared" si="144"/>
        <v>0</v>
      </c>
    </row>
    <row r="578" spans="1:15">
      <c r="A578" s="137">
        <v>1</v>
      </c>
      <c r="B578" s="1" t="s">
        <v>335</v>
      </c>
      <c r="D578" s="12"/>
      <c r="E578" s="32"/>
      <c r="F578" s="258"/>
      <c r="G578" s="40"/>
      <c r="H578" s="40"/>
      <c r="I578" s="39"/>
      <c r="M578" s="308">
        <f t="shared" si="144"/>
        <v>0</v>
      </c>
    </row>
    <row r="579" spans="1:15">
      <c r="A579" s="137">
        <v>2</v>
      </c>
      <c r="B579" s="1" t="s">
        <v>334</v>
      </c>
      <c r="E579" s="32"/>
      <c r="F579" s="258"/>
      <c r="G579" s="40"/>
      <c r="H579" s="40"/>
      <c r="I579" s="39"/>
      <c r="M579" s="308">
        <f t="shared" si="144"/>
        <v>0</v>
      </c>
    </row>
    <row r="580" spans="1:15">
      <c r="A580" s="137">
        <v>3</v>
      </c>
      <c r="C580" s="37" t="s">
        <v>333</v>
      </c>
      <c r="D580" s="81" t="s">
        <v>2</v>
      </c>
      <c r="E580" s="32"/>
      <c r="F580" s="262">
        <f>'[4]SCH_C2.1 - Forecasted Period'!$G$326</f>
        <v>10714923</v>
      </c>
      <c r="G580" s="35">
        <f>F580-SUM(H580:I580)</f>
        <v>6282159</v>
      </c>
      <c r="H580" s="35">
        <f>ROUND(F580*VLOOKUP(D580,ALLOCTABLE_FUNCTIONAL,$H$10,FALSE),0)</f>
        <v>572820</v>
      </c>
      <c r="I580" s="34">
        <f>ROUND(F580*VLOOKUP(D580,ALLOCTABLE_FUNCTIONAL,$I$10,FALSE),0)</f>
        <v>3859944</v>
      </c>
      <c r="J580" s="146">
        <f>SUM(G580:I580)</f>
        <v>10714923</v>
      </c>
      <c r="K580" s="146">
        <f>F580-J580</f>
        <v>0</v>
      </c>
      <c r="L580" s="287">
        <v>10714923</v>
      </c>
      <c r="M580" s="308">
        <f t="shared" si="144"/>
        <v>0</v>
      </c>
    </row>
    <row r="581" spans="1:15">
      <c r="A581" s="137">
        <v>4</v>
      </c>
      <c r="C581" s="217" t="s">
        <v>332</v>
      </c>
      <c r="D581" s="81" t="s">
        <v>2</v>
      </c>
      <c r="E581" s="32" t="s">
        <v>3</v>
      </c>
      <c r="F581" s="262">
        <v>0</v>
      </c>
      <c r="G581" s="35">
        <f>F581-SUM(H581:I581)</f>
        <v>0</v>
      </c>
      <c r="H581" s="35">
        <f>ROUND(F581*VLOOKUP(D581,ALLOCTABLE_FUNCTIONAL,$H$10,FALSE),0)</f>
        <v>0</v>
      </c>
      <c r="I581" s="34">
        <f>ROUND(F581*VLOOKUP(D581,ALLOCTABLE_FUNCTIONAL,$I$10,FALSE),0)</f>
        <v>0</v>
      </c>
      <c r="J581" s="146">
        <f>SUM(G581:I581)</f>
        <v>0</v>
      </c>
      <c r="K581" s="146">
        <f>F581-J581</f>
        <v>0</v>
      </c>
      <c r="L581" s="287">
        <v>0</v>
      </c>
      <c r="M581" s="308">
        <f t="shared" si="144"/>
        <v>0</v>
      </c>
    </row>
    <row r="582" spans="1:15">
      <c r="A582" s="137">
        <v>5</v>
      </c>
      <c r="C582" s="3" t="s">
        <v>331</v>
      </c>
      <c r="D582" s="81"/>
      <c r="E582" s="32"/>
      <c r="F582" s="260">
        <f t="shared" ref="F582:K582" si="155">SUM(F580:F581)</f>
        <v>10714923</v>
      </c>
      <c r="G582" s="151">
        <f t="shared" si="155"/>
        <v>6282159</v>
      </c>
      <c r="H582" s="151">
        <f t="shared" si="155"/>
        <v>572820</v>
      </c>
      <c r="I582" s="150">
        <f t="shared" si="155"/>
        <v>3859944</v>
      </c>
      <c r="J582" s="5">
        <f t="shared" si="155"/>
        <v>10714923</v>
      </c>
      <c r="K582" s="5">
        <f t="shared" si="155"/>
        <v>0</v>
      </c>
      <c r="L582" s="307">
        <v>10714923</v>
      </c>
      <c r="M582" s="308">
        <f t="shared" si="144"/>
        <v>0</v>
      </c>
    </row>
    <row r="583" spans="1:15">
      <c r="A583" s="137">
        <v>6</v>
      </c>
      <c r="D583" s="81"/>
      <c r="E583" s="32"/>
      <c r="F583" s="261"/>
      <c r="G583" s="40"/>
      <c r="H583" s="40"/>
      <c r="I583" s="39"/>
      <c r="L583" s="300"/>
      <c r="M583" s="308">
        <f t="shared" si="144"/>
        <v>0</v>
      </c>
    </row>
    <row r="584" spans="1:15">
      <c r="A584" s="137">
        <v>7</v>
      </c>
      <c r="B584" s="1" t="s">
        <v>330</v>
      </c>
      <c r="D584" s="81"/>
      <c r="E584" s="32"/>
      <c r="F584" s="261"/>
      <c r="G584" s="40"/>
      <c r="H584" s="40"/>
      <c r="I584" s="39"/>
      <c r="L584" s="300"/>
      <c r="M584" s="308">
        <f t="shared" si="144"/>
        <v>0</v>
      </c>
    </row>
    <row r="585" spans="1:15">
      <c r="A585" s="137">
        <v>8</v>
      </c>
      <c r="C585" s="37" t="s">
        <v>329</v>
      </c>
      <c r="D585" s="81" t="s">
        <v>43</v>
      </c>
      <c r="E585" s="32"/>
      <c r="F585" s="262">
        <f>'[4]SCH_C2.1 - Forecasted Period'!$J$331</f>
        <v>2066143</v>
      </c>
      <c r="G585" s="35">
        <f>F585-SUM(H585:I585)</f>
        <v>1213156</v>
      </c>
      <c r="H585" s="35">
        <f>ROUND(F585*VLOOKUP(D585,ALLOCTABLE_FUNCTIONAL,$H$10,FALSE),0)</f>
        <v>109196</v>
      </c>
      <c r="I585" s="34">
        <f>ROUND(F585*VLOOKUP(D585,ALLOCTABLE_FUNCTIONAL,$I$10,FALSE),0)</f>
        <v>743791</v>
      </c>
      <c r="J585" s="146">
        <f>SUM(G585:I585)</f>
        <v>2066143</v>
      </c>
      <c r="K585" s="146">
        <f>F585-J585</f>
        <v>0</v>
      </c>
      <c r="L585" s="287">
        <v>2066143</v>
      </c>
      <c r="M585" s="308">
        <f t="shared" si="144"/>
        <v>0</v>
      </c>
    </row>
    <row r="586" spans="1:15">
      <c r="A586" s="137">
        <v>9</v>
      </c>
      <c r="C586" s="37" t="s">
        <v>328</v>
      </c>
      <c r="D586" s="81" t="s">
        <v>43</v>
      </c>
      <c r="E586" s="32"/>
      <c r="F586" s="262">
        <f>[4]SCH_D1!$W$292</f>
        <v>-34680</v>
      </c>
      <c r="G586" s="35">
        <f>F586-SUM(H586:I586)</f>
        <v>-20363</v>
      </c>
      <c r="H586" s="35">
        <f>ROUND(F586*VLOOKUP(D586,ALLOCTABLE_FUNCTIONAL,$H$10,FALSE),0)</f>
        <v>-1833</v>
      </c>
      <c r="I586" s="34">
        <f>ROUND(F586*VLOOKUP(D586,ALLOCTABLE_FUNCTIONAL,$I$10,FALSE),0)</f>
        <v>-12484</v>
      </c>
      <c r="J586" s="146">
        <f>SUM(G586:I586)</f>
        <v>-34680</v>
      </c>
      <c r="K586" s="146">
        <f>F586-J586</f>
        <v>0</v>
      </c>
      <c r="L586" s="287">
        <v>-34680</v>
      </c>
      <c r="M586" s="308">
        <f t="shared" si="144"/>
        <v>0</v>
      </c>
    </row>
    <row r="587" spans="1:15">
      <c r="A587" s="137">
        <v>10</v>
      </c>
      <c r="C587" s="37" t="s">
        <v>327</v>
      </c>
      <c r="D587" s="81" t="s">
        <v>43</v>
      </c>
      <c r="E587" s="32"/>
      <c r="F587" s="262">
        <f>'[4]SCH_C2.1 - Forecasted Period'!$G$324</f>
        <v>0</v>
      </c>
      <c r="G587" s="35">
        <f>F587-SUM(H587:I587)</f>
        <v>0</v>
      </c>
      <c r="H587" s="35">
        <f>ROUND(F587*VLOOKUP(D587,ALLOCTABLE_FUNCTIONAL,$H$10,FALSE),0)</f>
        <v>0</v>
      </c>
      <c r="I587" s="34">
        <f>ROUND(F587*VLOOKUP(D587,ALLOCTABLE_FUNCTIONAL,$I$10,FALSE),0)</f>
        <v>0</v>
      </c>
      <c r="J587" s="146">
        <f>SUM(G587:I587)</f>
        <v>0</v>
      </c>
      <c r="K587" s="146">
        <f>F587-J587</f>
        <v>0</v>
      </c>
      <c r="L587" s="287">
        <v>0</v>
      </c>
      <c r="M587" s="308">
        <f t="shared" si="144"/>
        <v>0</v>
      </c>
    </row>
    <row r="588" spans="1:15">
      <c r="A588" s="137">
        <v>11</v>
      </c>
      <c r="C588" s="217" t="s">
        <v>326</v>
      </c>
      <c r="D588" s="81" t="s">
        <v>43</v>
      </c>
      <c r="E588" s="32"/>
      <c r="F588" s="262">
        <f>[4]SCH_D1!$Y$292</f>
        <v>-16879</v>
      </c>
      <c r="G588" s="35">
        <f>F588-SUM(H588:I588)</f>
        <v>-9911</v>
      </c>
      <c r="H588" s="35">
        <f>ROUND(F588*VLOOKUP(D588,ALLOCTABLE_FUNCTIONAL,$H$10,FALSE),0)</f>
        <v>-892</v>
      </c>
      <c r="I588" s="34">
        <f>ROUND(F588*VLOOKUP(D588,ALLOCTABLE_FUNCTIONAL,$I$10,FALSE),0)</f>
        <v>-6076</v>
      </c>
      <c r="J588" s="146">
        <f>SUM(G588:I588)</f>
        <v>-16879</v>
      </c>
      <c r="K588" s="146">
        <f>F588-J588</f>
        <v>0</v>
      </c>
      <c r="L588" s="287">
        <v>-16879</v>
      </c>
      <c r="M588" s="308">
        <f t="shared" ref="M588:M651" si="156">L588-F588</f>
        <v>0</v>
      </c>
    </row>
    <row r="589" spans="1:15">
      <c r="A589" s="137">
        <v>12</v>
      </c>
      <c r="C589" s="3" t="s">
        <v>325</v>
      </c>
      <c r="D589" s="81"/>
      <c r="E589" s="32"/>
      <c r="F589" s="260">
        <f t="shared" ref="F589:K589" si="157">SUM(F585:F588)</f>
        <v>2014584</v>
      </c>
      <c r="G589" s="151">
        <f t="shared" si="157"/>
        <v>1182882</v>
      </c>
      <c r="H589" s="151">
        <f t="shared" si="157"/>
        <v>106471</v>
      </c>
      <c r="I589" s="150">
        <f t="shared" si="157"/>
        <v>725231</v>
      </c>
      <c r="J589" s="5">
        <f t="shared" si="157"/>
        <v>2014584</v>
      </c>
      <c r="K589" s="5">
        <f t="shared" si="157"/>
        <v>0</v>
      </c>
      <c r="L589" s="307">
        <v>2014584</v>
      </c>
      <c r="M589" s="308">
        <f t="shared" si="156"/>
        <v>0</v>
      </c>
    </row>
    <row r="590" spans="1:15">
      <c r="A590" s="137">
        <v>13</v>
      </c>
      <c r="D590" s="81"/>
      <c r="E590" s="32"/>
      <c r="F590" s="261"/>
      <c r="G590" s="40"/>
      <c r="H590" s="40"/>
      <c r="I590" s="39"/>
      <c r="L590" s="300"/>
      <c r="M590" s="308">
        <f t="shared" si="156"/>
        <v>0</v>
      </c>
    </row>
    <row r="591" spans="1:15">
      <c r="A591" s="137">
        <v>14</v>
      </c>
      <c r="B591" s="1" t="s">
        <v>324</v>
      </c>
      <c r="D591" s="81"/>
      <c r="E591" s="32"/>
      <c r="F591" s="261"/>
      <c r="G591" s="40"/>
      <c r="H591" s="40"/>
      <c r="I591" s="39"/>
      <c r="L591" s="300"/>
      <c r="M591" s="308">
        <f t="shared" si="156"/>
        <v>0</v>
      </c>
    </row>
    <row r="592" spans="1:15">
      <c r="A592" s="137">
        <v>15</v>
      </c>
      <c r="C592" s="37" t="s">
        <v>323</v>
      </c>
      <c r="D592" s="81" t="s">
        <v>148</v>
      </c>
      <c r="E592" s="32"/>
      <c r="F592" s="262">
        <f>[4]SCH_C1!$G$22</f>
        <v>97098</v>
      </c>
      <c r="G592" s="35">
        <f>F592-SUM(H592:I592)</f>
        <v>57012</v>
      </c>
      <c r="H592" s="35">
        <f>ROUND(F592*VLOOKUP(D592,ALLOCTABLE_FUNCTIONAL,$H$10,FALSE),0)</f>
        <v>5132</v>
      </c>
      <c r="I592" s="34">
        <f>ROUND(F592*VLOOKUP(D592,ALLOCTABLE_FUNCTIONAL,$I$10,FALSE),0)</f>
        <v>34954</v>
      </c>
      <c r="J592" s="146">
        <f>SUM(G592:I592)</f>
        <v>97098</v>
      </c>
      <c r="K592" s="146">
        <f>F592-J592</f>
        <v>0</v>
      </c>
      <c r="L592" s="287">
        <v>97098</v>
      </c>
      <c r="M592" s="308">
        <f t="shared" si="156"/>
        <v>0</v>
      </c>
      <c r="N592" s="32"/>
      <c r="O592" s="32"/>
    </row>
    <row r="593" spans="1:17">
      <c r="A593" s="137">
        <v>16</v>
      </c>
      <c r="C593" s="217" t="s">
        <v>267</v>
      </c>
      <c r="D593" s="4" t="str">
        <f>D592</f>
        <v>K902</v>
      </c>
      <c r="E593" s="32"/>
      <c r="F593" s="262">
        <v>0</v>
      </c>
      <c r="G593" s="35">
        <f>F593-SUM(H593:I593)</f>
        <v>0</v>
      </c>
      <c r="H593" s="35">
        <f>ROUND(F593*VLOOKUP(D593,ALLOCTABLE_FUNCTIONAL,$H$10,FALSE),0)</f>
        <v>0</v>
      </c>
      <c r="I593" s="34">
        <f>ROUND(F593*VLOOKUP(D593,ALLOCTABLE_FUNCTIONAL,$I$10,FALSE),0)</f>
        <v>0</v>
      </c>
      <c r="J593" s="146">
        <f>SUM(G593:I593)</f>
        <v>0</v>
      </c>
      <c r="K593" s="146">
        <f>F593-J593</f>
        <v>0</v>
      </c>
      <c r="L593" s="287">
        <v>0</v>
      </c>
      <c r="M593" s="308">
        <f t="shared" si="156"/>
        <v>0</v>
      </c>
      <c r="N593" s="3"/>
      <c r="O593" s="3"/>
      <c r="P593" s="3"/>
    </row>
    <row r="594" spans="1:17">
      <c r="A594" s="137">
        <v>17</v>
      </c>
      <c r="C594" s="3" t="s">
        <v>322</v>
      </c>
      <c r="D594" s="81"/>
      <c r="E594" s="32"/>
      <c r="F594" s="267">
        <f t="shared" ref="F594:K594" si="158">SUM(F592:F593)</f>
        <v>97098</v>
      </c>
      <c r="G594" s="151">
        <f t="shared" si="158"/>
        <v>57012</v>
      </c>
      <c r="H594" s="151">
        <f t="shared" si="158"/>
        <v>5132</v>
      </c>
      <c r="I594" s="150">
        <f t="shared" si="158"/>
        <v>34954</v>
      </c>
      <c r="J594" s="5">
        <f t="shared" si="158"/>
        <v>97098</v>
      </c>
      <c r="K594" s="5">
        <f t="shared" si="158"/>
        <v>0</v>
      </c>
      <c r="L594" s="288">
        <v>97098</v>
      </c>
      <c r="M594" s="308">
        <f t="shared" si="156"/>
        <v>0</v>
      </c>
    </row>
    <row r="595" spans="1:17">
      <c r="A595" s="137">
        <v>18</v>
      </c>
      <c r="D595" s="12"/>
      <c r="E595" s="32"/>
      <c r="F595" s="261"/>
      <c r="G595" s="40"/>
      <c r="H595" s="40"/>
      <c r="I595" s="39"/>
      <c r="L595" s="300"/>
      <c r="M595" s="308">
        <f t="shared" si="156"/>
        <v>0</v>
      </c>
      <c r="Q595" s="85"/>
    </row>
    <row r="596" spans="1:17">
      <c r="A596" s="137">
        <v>19</v>
      </c>
      <c r="B596" s="1" t="s">
        <v>319</v>
      </c>
      <c r="D596" s="12"/>
      <c r="E596" s="32" t="s">
        <v>3</v>
      </c>
      <c r="F596" s="259">
        <f t="shared" ref="F596:K596" si="159">F589+F582+F594</f>
        <v>12826605</v>
      </c>
      <c r="G596" s="35">
        <f t="shared" si="159"/>
        <v>7522053</v>
      </c>
      <c r="H596" s="35">
        <f t="shared" si="159"/>
        <v>684423</v>
      </c>
      <c r="I596" s="34">
        <f t="shared" si="159"/>
        <v>4620129</v>
      </c>
      <c r="J596" s="146">
        <f t="shared" si="159"/>
        <v>12826605</v>
      </c>
      <c r="K596" s="146">
        <f t="shared" si="159"/>
        <v>0</v>
      </c>
      <c r="L596" s="298">
        <v>12826605</v>
      </c>
      <c r="M596" s="308">
        <f t="shared" si="156"/>
        <v>0</v>
      </c>
    </row>
    <row r="597" spans="1:17">
      <c r="A597" s="137">
        <v>20</v>
      </c>
      <c r="D597" s="12"/>
      <c r="E597" s="32"/>
      <c r="F597" s="258"/>
      <c r="G597" s="40"/>
      <c r="H597" s="40"/>
      <c r="I597" s="39"/>
      <c r="M597" s="308">
        <f t="shared" si="156"/>
        <v>0</v>
      </c>
    </row>
    <row r="598" spans="1:17">
      <c r="A598" s="137">
        <v>21</v>
      </c>
      <c r="B598" s="1" t="s">
        <v>291</v>
      </c>
      <c r="D598" s="12"/>
      <c r="E598" s="32"/>
      <c r="F598" s="258"/>
      <c r="G598" s="40"/>
      <c r="H598" s="40"/>
      <c r="I598" s="39"/>
      <c r="M598" s="308">
        <f t="shared" si="156"/>
        <v>0</v>
      </c>
    </row>
    <row r="599" spans="1:17">
      <c r="A599" s="137">
        <v>22</v>
      </c>
      <c r="C599" s="3" t="s">
        <v>321</v>
      </c>
      <c r="D599" s="12"/>
      <c r="E599" s="32"/>
      <c r="F599" s="259">
        <f t="shared" ref="F599:K599" si="160">F533</f>
        <v>220652209</v>
      </c>
      <c r="G599" s="35">
        <f t="shared" si="160"/>
        <v>170336881</v>
      </c>
      <c r="H599" s="35">
        <f t="shared" si="160"/>
        <v>22973313</v>
      </c>
      <c r="I599" s="34">
        <f t="shared" si="160"/>
        <v>27342015</v>
      </c>
      <c r="J599" s="146">
        <f t="shared" si="160"/>
        <v>220652209</v>
      </c>
      <c r="K599" s="146">
        <f t="shared" si="160"/>
        <v>0</v>
      </c>
      <c r="L599" s="298">
        <v>220652209</v>
      </c>
      <c r="M599" s="308">
        <f t="shared" si="156"/>
        <v>0</v>
      </c>
    </row>
    <row r="600" spans="1:17">
      <c r="A600" s="137">
        <v>23</v>
      </c>
      <c r="C600" s="3" t="s">
        <v>320</v>
      </c>
      <c r="D600" s="12"/>
      <c r="E600" s="32"/>
      <c r="F600" s="259">
        <f t="shared" ref="F600:K600" si="161">F566</f>
        <v>50969314</v>
      </c>
      <c r="G600" s="35">
        <f t="shared" si="161"/>
        <v>33884948</v>
      </c>
      <c r="H600" s="35">
        <f t="shared" si="161"/>
        <v>1996775</v>
      </c>
      <c r="I600" s="34">
        <f t="shared" si="161"/>
        <v>15087591</v>
      </c>
      <c r="J600" s="146">
        <f t="shared" si="161"/>
        <v>50969314</v>
      </c>
      <c r="K600" s="146">
        <f t="shared" si="161"/>
        <v>0</v>
      </c>
      <c r="L600" s="298">
        <v>50969314</v>
      </c>
      <c r="M600" s="308">
        <f t="shared" si="156"/>
        <v>0</v>
      </c>
    </row>
    <row r="601" spans="1:17">
      <c r="A601" s="137">
        <v>24</v>
      </c>
      <c r="C601" s="154" t="s">
        <v>319</v>
      </c>
      <c r="D601" s="12"/>
      <c r="E601" s="32"/>
      <c r="F601" s="259">
        <f>F596</f>
        <v>12826605</v>
      </c>
      <c r="G601" s="35">
        <f>G596</f>
        <v>7522053</v>
      </c>
      <c r="H601" s="35">
        <f>H596</f>
        <v>684423</v>
      </c>
      <c r="I601" s="34">
        <f>I596</f>
        <v>4620129</v>
      </c>
      <c r="J601" s="146">
        <f>J596</f>
        <v>12826605</v>
      </c>
      <c r="K601" s="146">
        <f>K308</f>
        <v>0</v>
      </c>
      <c r="L601" s="298">
        <v>12826605</v>
      </c>
      <c r="M601" s="308">
        <f t="shared" si="156"/>
        <v>0</v>
      </c>
    </row>
    <row r="602" spans="1:17">
      <c r="A602" s="137">
        <v>25</v>
      </c>
      <c r="C602" s="3" t="s">
        <v>318</v>
      </c>
      <c r="D602" s="12"/>
      <c r="E602" s="32"/>
      <c r="F602" s="260">
        <f t="shared" ref="F602:K602" si="162">SUM(F599:F601)</f>
        <v>284448128</v>
      </c>
      <c r="G602" s="209">
        <f t="shared" si="162"/>
        <v>211743882</v>
      </c>
      <c r="H602" s="209">
        <f t="shared" si="162"/>
        <v>25654511</v>
      </c>
      <c r="I602" s="208">
        <f t="shared" si="162"/>
        <v>47049735</v>
      </c>
      <c r="J602" s="5">
        <f t="shared" si="162"/>
        <v>284448128</v>
      </c>
      <c r="K602" s="5">
        <f t="shared" si="162"/>
        <v>0</v>
      </c>
      <c r="L602" s="307">
        <v>284448128</v>
      </c>
      <c r="M602" s="308">
        <f t="shared" si="156"/>
        <v>0</v>
      </c>
    </row>
    <row r="603" spans="1:17">
      <c r="B603" s="67"/>
      <c r="C603" s="32"/>
      <c r="D603" s="12"/>
      <c r="E603" s="32"/>
      <c r="F603" s="255"/>
      <c r="G603" s="27"/>
      <c r="H603" s="27"/>
      <c r="I603" s="27"/>
      <c r="J603" s="27"/>
      <c r="K603" s="27"/>
      <c r="L603" s="253"/>
      <c r="M603" s="308">
        <f t="shared" si="156"/>
        <v>0</v>
      </c>
    </row>
    <row r="604" spans="1:17">
      <c r="A604" s="67" t="str">
        <f>co_name</f>
        <v>DUKE ENERGY KENTUCKY, INC.</v>
      </c>
      <c r="C604" s="32"/>
      <c r="D604" s="12"/>
      <c r="E604" s="32"/>
      <c r="F604" s="255"/>
      <c r="G604" s="27"/>
      <c r="H604" s="27"/>
      <c r="I604" s="27"/>
      <c r="J604" s="27" t="str">
        <f>J1</f>
        <v>FR-16(7)(v)-1</v>
      </c>
      <c r="K604" s="27"/>
      <c r="L604" s="253"/>
      <c r="M604" s="308">
        <f t="shared" si="156"/>
        <v>0</v>
      </c>
    </row>
    <row r="605" spans="1:17">
      <c r="A605" s="67" t="str">
        <f>$A$2</f>
        <v>FUNCTIONAL ELECTRIC COST OF SERVICE</v>
      </c>
      <c r="C605" s="32"/>
      <c r="D605" s="12"/>
      <c r="E605" s="32"/>
      <c r="F605" s="255"/>
      <c r="G605" s="27"/>
      <c r="H605" s="27"/>
      <c r="I605" s="27"/>
      <c r="J605" s="27" t="str">
        <f>J2</f>
        <v>WITNESS RESPONSIBLE:</v>
      </c>
      <c r="K605" s="27"/>
      <c r="L605" s="253"/>
      <c r="M605" s="308">
        <f t="shared" si="156"/>
        <v>0</v>
      </c>
    </row>
    <row r="606" spans="1:17">
      <c r="A606" s="67" t="str">
        <f>case_name</f>
        <v>CASE NO: 2017-00321</v>
      </c>
      <c r="C606" s="32"/>
      <c r="D606" s="12"/>
      <c r="E606" s="32"/>
      <c r="F606" s="255"/>
      <c r="G606" s="27"/>
      <c r="H606" s="27"/>
      <c r="I606" s="27"/>
      <c r="J606" s="27" t="str">
        <f>Witness</f>
        <v>JAMES E. ZIOLKOWSKI</v>
      </c>
      <c r="K606" s="27"/>
      <c r="L606" s="253"/>
      <c r="M606" s="308">
        <f t="shared" si="156"/>
        <v>0</v>
      </c>
    </row>
    <row r="607" spans="1:17">
      <c r="A607" s="67" t="str">
        <f>data_filing</f>
        <v>DATA: 12 MONTHS ACTUAL  &amp; 0 MONTHS ESTIMATED</v>
      </c>
      <c r="C607" s="32"/>
      <c r="D607" s="12"/>
      <c r="E607" s="32"/>
      <c r="F607" s="255"/>
      <c r="G607" s="27"/>
      <c r="H607" s="27"/>
      <c r="I607" s="27"/>
      <c r="J607" s="27" t="str">
        <f>"PAGE "&amp;Pages-6&amp;" OF "&amp;Pages</f>
        <v>PAGE 12 OF 18</v>
      </c>
      <c r="K607" s="27"/>
      <c r="L607" s="253"/>
      <c r="M607" s="308">
        <f t="shared" si="156"/>
        <v>0</v>
      </c>
    </row>
    <row r="608" spans="1:17">
      <c r="A608" s="67" t="str">
        <f>type</f>
        <v xml:space="preserve">TYPE OF FILING: "X" ORIGINAL   UPDATED    REVISED  </v>
      </c>
      <c r="C608" s="32"/>
      <c r="D608" s="12"/>
      <c r="E608" s="32"/>
      <c r="F608" s="255"/>
      <c r="G608" s="27"/>
      <c r="H608" s="27"/>
      <c r="I608" s="27"/>
      <c r="J608" s="27"/>
      <c r="K608" s="27"/>
      <c r="L608" s="253"/>
      <c r="M608" s="308">
        <f t="shared" si="156"/>
        <v>0</v>
      </c>
    </row>
    <row r="609" spans="1:16">
      <c r="B609" s="67"/>
      <c r="C609" s="32"/>
      <c r="D609" s="12"/>
      <c r="E609" s="32"/>
      <c r="F609" s="255"/>
      <c r="G609" s="27"/>
      <c r="H609" s="27"/>
      <c r="I609" s="27"/>
      <c r="J609" s="27"/>
      <c r="K609" s="27"/>
      <c r="L609" s="253"/>
      <c r="M609" s="308">
        <f t="shared" si="156"/>
        <v>0</v>
      </c>
    </row>
    <row r="610" spans="1:16">
      <c r="B610" s="67"/>
      <c r="C610" s="32"/>
      <c r="D610" s="12"/>
      <c r="E610" s="32"/>
      <c r="F610" s="255"/>
      <c r="G610" s="27"/>
      <c r="H610" s="27"/>
      <c r="I610" s="27"/>
      <c r="J610" s="27"/>
      <c r="K610" s="27"/>
      <c r="L610" s="253"/>
      <c r="M610" s="308">
        <f t="shared" si="156"/>
        <v>0</v>
      </c>
    </row>
    <row r="611" spans="1:16">
      <c r="A611" s="8" t="s">
        <v>91</v>
      </c>
      <c r="B611" s="27"/>
      <c r="C611" s="32"/>
      <c r="D611" s="12"/>
      <c r="E611" s="32"/>
      <c r="F611" s="256" t="s">
        <v>1</v>
      </c>
      <c r="G611" s="65" t="s">
        <v>90</v>
      </c>
      <c r="H611" s="65"/>
      <c r="I611" s="64"/>
      <c r="J611" s="8" t="s">
        <v>1</v>
      </c>
      <c r="K611" s="8" t="s">
        <v>89</v>
      </c>
      <c r="L611" s="284" t="s">
        <v>1</v>
      </c>
      <c r="M611" s="308" t="e">
        <f t="shared" si="156"/>
        <v>#VALUE!</v>
      </c>
    </row>
    <row r="612" spans="1:16">
      <c r="A612" s="57" t="s">
        <v>88</v>
      </c>
      <c r="B612" s="145" t="s">
        <v>317</v>
      </c>
      <c r="C612" s="62"/>
      <c r="D612" s="56" t="s">
        <v>85</v>
      </c>
      <c r="E612" s="62"/>
      <c r="F612" s="264" t="str">
        <f>$F$9</f>
        <v>ELECTRIC</v>
      </c>
      <c r="G612" s="59" t="str">
        <f t="shared" ref="G612:I613" si="163">G9</f>
        <v>PRODUCTION</v>
      </c>
      <c r="H612" s="59" t="str">
        <f t="shared" si="163"/>
        <v>TRANSMISSION</v>
      </c>
      <c r="I612" s="58" t="str">
        <f t="shared" si="163"/>
        <v>DISTRIBUTION</v>
      </c>
      <c r="J612" s="57" t="s">
        <v>84</v>
      </c>
      <c r="K612" s="57" t="s">
        <v>83</v>
      </c>
      <c r="L612" s="285" t="s">
        <v>82</v>
      </c>
      <c r="M612" s="308" t="e">
        <f t="shared" si="156"/>
        <v>#VALUE!</v>
      </c>
    </row>
    <row r="613" spans="1:16">
      <c r="C613" s="144" t="s">
        <v>316</v>
      </c>
      <c r="D613" s="12"/>
      <c r="E613" s="32"/>
      <c r="F613" s="258"/>
      <c r="G613" s="222">
        <f t="shared" si="163"/>
        <v>3</v>
      </c>
      <c r="H613" s="53">
        <f t="shared" si="163"/>
        <v>4</v>
      </c>
      <c r="I613" s="52">
        <f t="shared" si="163"/>
        <v>5</v>
      </c>
      <c r="M613" s="308">
        <f t="shared" si="156"/>
        <v>0</v>
      </c>
    </row>
    <row r="614" spans="1:16">
      <c r="A614" s="137">
        <v>1</v>
      </c>
      <c r="B614" s="1" t="s">
        <v>315</v>
      </c>
      <c r="D614" s="12"/>
      <c r="E614" s="32"/>
      <c r="F614" s="258"/>
      <c r="G614" s="40"/>
      <c r="H614" s="40"/>
      <c r="I614" s="39"/>
      <c r="M614" s="308">
        <f t="shared" si="156"/>
        <v>0</v>
      </c>
    </row>
    <row r="615" spans="1:16">
      <c r="A615" s="137">
        <v>2</v>
      </c>
      <c r="B615" s="1" t="s">
        <v>314</v>
      </c>
      <c r="E615" s="32"/>
      <c r="F615" s="258"/>
      <c r="G615" s="40"/>
      <c r="H615" s="40"/>
      <c r="I615" s="39"/>
      <c r="M615" s="308">
        <f t="shared" si="156"/>
        <v>0</v>
      </c>
    </row>
    <row r="616" spans="1:16">
      <c r="A616" s="137">
        <v>3</v>
      </c>
      <c r="C616" s="217" t="s">
        <v>313</v>
      </c>
      <c r="D616" s="81" t="s">
        <v>94</v>
      </c>
      <c r="E616" s="32"/>
      <c r="F616" s="262">
        <f>-[4]SCH_E1!$Q$23</f>
        <v>14435959</v>
      </c>
      <c r="G616" s="35">
        <f>F616-SUM(H616:I616)</f>
        <v>9511998</v>
      </c>
      <c r="H616" s="35">
        <f>ROUND(F616*VLOOKUP(D616,ALLOCTABLE_FUNCTIONAL,$H$10,FALSE),0)</f>
        <v>790946</v>
      </c>
      <c r="I616" s="34">
        <f>ROUND(F616*VLOOKUP(D616,ALLOCTABLE_FUNCTIONAL,$I$10,FALSE),0)</f>
        <v>4133015</v>
      </c>
      <c r="J616" s="146">
        <f>SUM(G616:I616)</f>
        <v>14435959</v>
      </c>
      <c r="K616" s="146">
        <f>F616-J616</f>
        <v>0</v>
      </c>
      <c r="L616" s="287">
        <v>14435959</v>
      </c>
      <c r="M616" s="308">
        <f t="shared" si="156"/>
        <v>0</v>
      </c>
      <c r="N616" s="87"/>
      <c r="O616" s="3"/>
      <c r="P616" s="3"/>
    </row>
    <row r="617" spans="1:16">
      <c r="A617" s="137">
        <v>4</v>
      </c>
      <c r="C617" s="3" t="s">
        <v>312</v>
      </c>
      <c r="D617" s="81"/>
      <c r="E617" s="32"/>
      <c r="F617" s="260">
        <f t="shared" ref="F617:K617" si="164">F616</f>
        <v>14435959</v>
      </c>
      <c r="G617" s="151">
        <f t="shared" si="164"/>
        <v>9511998</v>
      </c>
      <c r="H617" s="151">
        <f t="shared" si="164"/>
        <v>790946</v>
      </c>
      <c r="I617" s="150">
        <f t="shared" si="164"/>
        <v>4133015</v>
      </c>
      <c r="J617" s="5">
        <f t="shared" si="164"/>
        <v>14435959</v>
      </c>
      <c r="K617" s="5">
        <f t="shared" si="164"/>
        <v>0</v>
      </c>
      <c r="L617" s="307">
        <v>14435959</v>
      </c>
      <c r="M617" s="308">
        <f t="shared" si="156"/>
        <v>0</v>
      </c>
    </row>
    <row r="618" spans="1:16">
      <c r="A618" s="137">
        <v>5</v>
      </c>
      <c r="D618" s="81"/>
      <c r="E618" s="170"/>
      <c r="F618" s="261"/>
      <c r="G618" s="40"/>
      <c r="H618" s="40"/>
      <c r="I618" s="39"/>
      <c r="L618" s="300"/>
      <c r="M618" s="308">
        <f t="shared" si="156"/>
        <v>0</v>
      </c>
      <c r="N618" s="221"/>
    </row>
    <row r="619" spans="1:16">
      <c r="A619" s="137">
        <v>6</v>
      </c>
      <c r="B619" s="1" t="s">
        <v>311</v>
      </c>
      <c r="D619" s="81"/>
      <c r="E619" s="32"/>
      <c r="F619" s="261"/>
      <c r="G619" s="40"/>
      <c r="H619" s="40"/>
      <c r="I619" s="39"/>
      <c r="L619" s="300"/>
      <c r="M619" s="308">
        <f t="shared" si="156"/>
        <v>0</v>
      </c>
    </row>
    <row r="620" spans="1:16">
      <c r="A620" s="137">
        <v>7</v>
      </c>
      <c r="C620" s="37" t="s">
        <v>310</v>
      </c>
      <c r="D620" s="81" t="s">
        <v>29</v>
      </c>
      <c r="E620" s="32"/>
      <c r="F620" s="262">
        <f>-[4]SCH_E1!$Q$29</f>
        <v>38648262</v>
      </c>
      <c r="G620" s="35">
        <f>F620-SUM(H620:I620)</f>
        <v>25693751</v>
      </c>
      <c r="H620" s="35">
        <f>ROUND(F620*VLOOKUP(D620,ALLOCTABLE_FUNCTIONAL,$H$10,FALSE),0)</f>
        <v>1514239</v>
      </c>
      <c r="I620" s="34">
        <f>ROUND(F620*VLOOKUP(D620,ALLOCTABLE_FUNCTIONAL,$I$10,FALSE),0)</f>
        <v>11440272</v>
      </c>
      <c r="J620" s="146">
        <f>SUM(G620:I620)</f>
        <v>38648262</v>
      </c>
      <c r="K620" s="146">
        <f>F620-J620</f>
        <v>0</v>
      </c>
      <c r="L620" s="287">
        <v>38648262</v>
      </c>
      <c r="M620" s="308">
        <f t="shared" si="156"/>
        <v>0</v>
      </c>
    </row>
    <row r="621" spans="1:16">
      <c r="A621" s="137">
        <v>8</v>
      </c>
      <c r="C621" s="37" t="s">
        <v>309</v>
      </c>
      <c r="D621" s="81" t="s">
        <v>5</v>
      </c>
      <c r="E621" s="32"/>
      <c r="F621" s="262">
        <f>-[4]SCH_E1!$Q$25</f>
        <v>-1158877</v>
      </c>
      <c r="G621" s="35">
        <f>F621-SUM(H621:I621)</f>
        <v>-680446</v>
      </c>
      <c r="H621" s="35">
        <f>ROUND(F621*VLOOKUP(D621,ALLOCTABLE_FUNCTIONAL,$H$10,FALSE),0)</f>
        <v>-61247</v>
      </c>
      <c r="I621" s="34">
        <f>ROUND(F621*VLOOKUP(D621,ALLOCTABLE_FUNCTIONAL,$I$10,FALSE),0)</f>
        <v>-417184</v>
      </c>
      <c r="J621" s="146">
        <f>SUM(G621:I621)</f>
        <v>-1158877</v>
      </c>
      <c r="K621" s="146">
        <f>F621-J621</f>
        <v>0</v>
      </c>
      <c r="L621" s="287">
        <v>-1158877</v>
      </c>
      <c r="M621" s="308">
        <f t="shared" si="156"/>
        <v>0</v>
      </c>
    </row>
    <row r="622" spans="1:16">
      <c r="A622" s="137">
        <v>9</v>
      </c>
      <c r="C622" s="217" t="s">
        <v>308</v>
      </c>
      <c r="D622" s="81" t="s">
        <v>29</v>
      </c>
      <c r="E622" s="32"/>
      <c r="F622" s="262">
        <f>-[4]SCH_E1!$Q$32</f>
        <v>26140183</v>
      </c>
      <c r="G622" s="35">
        <f>F622-SUM(H622:I622)</f>
        <v>17378255</v>
      </c>
      <c r="H622" s="35">
        <f>ROUND(F622*VLOOKUP(D622,ALLOCTABLE_FUNCTIONAL,$H$10,FALSE),0)</f>
        <v>1024172</v>
      </c>
      <c r="I622" s="34">
        <f>ROUND(F622*VLOOKUP(D622,ALLOCTABLE_FUNCTIONAL,$I$10,FALSE),0)</f>
        <v>7737756</v>
      </c>
      <c r="J622" s="146">
        <f>SUM(G622:I622)</f>
        <v>26140183</v>
      </c>
      <c r="K622" s="146">
        <f>F622-J622</f>
        <v>0</v>
      </c>
      <c r="L622" s="287">
        <v>26140183</v>
      </c>
      <c r="M622" s="308">
        <f t="shared" si="156"/>
        <v>0</v>
      </c>
    </row>
    <row r="623" spans="1:16">
      <c r="A623" s="137">
        <v>10</v>
      </c>
      <c r="C623" s="3" t="s">
        <v>307</v>
      </c>
      <c r="D623" s="81"/>
      <c r="E623" s="32"/>
      <c r="F623" s="260">
        <f t="shared" ref="F623:K623" si="165">SUM(F620:F622)</f>
        <v>63629568</v>
      </c>
      <c r="G623" s="151">
        <f t="shared" si="165"/>
        <v>42391560</v>
      </c>
      <c r="H623" s="151">
        <f t="shared" si="165"/>
        <v>2477164</v>
      </c>
      <c r="I623" s="150">
        <f t="shared" si="165"/>
        <v>18760844</v>
      </c>
      <c r="J623" s="5">
        <f t="shared" si="165"/>
        <v>63629568</v>
      </c>
      <c r="K623" s="140">
        <f t="shared" si="165"/>
        <v>0</v>
      </c>
      <c r="L623" s="307">
        <v>63629568</v>
      </c>
      <c r="M623" s="308">
        <f t="shared" si="156"/>
        <v>0</v>
      </c>
    </row>
    <row r="624" spans="1:16">
      <c r="A624" s="137">
        <v>11</v>
      </c>
      <c r="D624" s="81"/>
      <c r="E624" s="32"/>
      <c r="F624" s="261"/>
      <c r="G624" s="40"/>
      <c r="H624" s="40"/>
      <c r="I624" s="39"/>
      <c r="L624" s="300"/>
      <c r="M624" s="308">
        <f t="shared" si="156"/>
        <v>0</v>
      </c>
    </row>
    <row r="625" spans="1:16">
      <c r="A625" s="137">
        <v>12</v>
      </c>
      <c r="B625" s="1" t="s">
        <v>286</v>
      </c>
      <c r="D625" s="81"/>
      <c r="E625" s="32"/>
      <c r="F625" s="259">
        <f t="shared" ref="F625:K625" si="166">F623+F617</f>
        <v>78065527</v>
      </c>
      <c r="G625" s="35">
        <f t="shared" si="166"/>
        <v>51903558</v>
      </c>
      <c r="H625" s="35">
        <f t="shared" si="166"/>
        <v>3268110</v>
      </c>
      <c r="I625" s="34">
        <f t="shared" si="166"/>
        <v>22893859</v>
      </c>
      <c r="J625" s="146">
        <f t="shared" si="166"/>
        <v>78065527</v>
      </c>
      <c r="K625" s="146">
        <f t="shared" si="166"/>
        <v>0</v>
      </c>
      <c r="L625" s="298">
        <v>78065527</v>
      </c>
      <c r="M625" s="308">
        <f t="shared" si="156"/>
        <v>0</v>
      </c>
    </row>
    <row r="626" spans="1:16">
      <c r="A626" s="137">
        <v>13</v>
      </c>
      <c r="D626" s="81"/>
      <c r="E626" s="32"/>
      <c r="F626" s="261"/>
      <c r="G626" s="40"/>
      <c r="H626" s="40"/>
      <c r="I626" s="39"/>
      <c r="L626" s="300"/>
      <c r="M626" s="308">
        <f t="shared" si="156"/>
        <v>0</v>
      </c>
    </row>
    <row r="627" spans="1:16">
      <c r="A627" s="137">
        <v>14</v>
      </c>
      <c r="B627" s="220" t="s">
        <v>306</v>
      </c>
      <c r="D627" s="81"/>
      <c r="E627" s="32"/>
      <c r="F627" s="262"/>
      <c r="G627" s="40"/>
      <c r="H627" s="40"/>
      <c r="I627" s="39"/>
      <c r="L627" s="287"/>
      <c r="M627" s="308">
        <f t="shared" si="156"/>
        <v>0</v>
      </c>
    </row>
    <row r="628" spans="1:16">
      <c r="A628" s="137">
        <v>15</v>
      </c>
      <c r="C628" s="37" t="s">
        <v>305</v>
      </c>
      <c r="D628" s="81" t="s">
        <v>60</v>
      </c>
      <c r="E628" s="219"/>
      <c r="F628" s="262">
        <f>[4]SCH_E1!$Q$123*0.6</f>
        <v>13503322.799999999</v>
      </c>
      <c r="G628" s="35">
        <f>ROUND(F628*VLOOKUP(D628,ALLOCTABLE_FUNCTIONAL,$G$10,FALSE),0)</f>
        <v>10424025</v>
      </c>
      <c r="H628" s="35">
        <f>ROUND(F628*VLOOKUP(D628,ALLOCTABLE_FUNCTIONAL,$H$10,FALSE),0)</f>
        <v>1405966</v>
      </c>
      <c r="I628" s="34">
        <f>ROUND(F628*VLOOKUP(D628,ALLOCTABLE_FUNCTIONAL,$I$10,FALSE),0)</f>
        <v>1673197</v>
      </c>
      <c r="J628" s="146">
        <f>SUM(G628:I628)</f>
        <v>13503188</v>
      </c>
      <c r="K628" s="146">
        <f>F628-J628</f>
        <v>134.79999999888241</v>
      </c>
      <c r="L628" s="287">
        <v>22505538</v>
      </c>
      <c r="M628" s="308">
        <f t="shared" si="156"/>
        <v>9002215.2000000011</v>
      </c>
      <c r="N628" s="218" t="s">
        <v>304</v>
      </c>
      <c r="O628" s="218"/>
      <c r="P628" s="218"/>
    </row>
    <row r="629" spans="1:16">
      <c r="A629" s="137">
        <v>16</v>
      </c>
      <c r="C629" s="37" t="s">
        <v>303</v>
      </c>
      <c r="D629" s="81" t="s">
        <v>5</v>
      </c>
      <c r="E629" s="32"/>
      <c r="F629" s="262">
        <v>0</v>
      </c>
      <c r="G629" s="35">
        <f>ROUND(F629*VLOOKUP(D629,ALLOCTABLE_FUNCTIONAL,$G$10,FALSE),0)</f>
        <v>0</v>
      </c>
      <c r="H629" s="35">
        <f>ROUND(F629*VLOOKUP(D629,ALLOCTABLE_FUNCTIONAL,$H$10,FALSE),0)</f>
        <v>0</v>
      </c>
      <c r="I629" s="34">
        <f>ROUND(F629*VLOOKUP(D629,ALLOCTABLE_FUNCTIONAL,$I$10,FALSE),0)</f>
        <v>0</v>
      </c>
      <c r="J629" s="146">
        <f>SUM(G629:I629)</f>
        <v>0</v>
      </c>
      <c r="K629" s="146">
        <f>F629-J629</f>
        <v>0</v>
      </c>
      <c r="L629" s="287">
        <v>0</v>
      </c>
      <c r="M629" s="308">
        <f t="shared" si="156"/>
        <v>0</v>
      </c>
    </row>
    <row r="630" spans="1:16">
      <c r="A630" s="137">
        <v>17</v>
      </c>
      <c r="C630" s="37" t="s">
        <v>302</v>
      </c>
      <c r="D630" s="81" t="s">
        <v>29</v>
      </c>
      <c r="E630" s="32"/>
      <c r="F630" s="262">
        <v>0</v>
      </c>
      <c r="G630" s="35">
        <f>ROUND(F630*VLOOKUP(D630,ALLOCTABLE_FUNCTIONAL,$G$10,FALSE),0)</f>
        <v>0</v>
      </c>
      <c r="H630" s="35">
        <f>ROUND(F630*VLOOKUP(D630,ALLOCTABLE_FUNCTIONAL,$H$10,FALSE),0)</f>
        <v>0</v>
      </c>
      <c r="I630" s="34">
        <f>ROUND(F630*VLOOKUP(D630,ALLOCTABLE_FUNCTIONAL,$I$10,FALSE),0)</f>
        <v>0</v>
      </c>
      <c r="J630" s="146">
        <f>SUM(G630:I630)</f>
        <v>0</v>
      </c>
      <c r="K630" s="146">
        <f>F630-J630</f>
        <v>0</v>
      </c>
      <c r="L630" s="287">
        <v>0</v>
      </c>
      <c r="M630" s="308">
        <f t="shared" si="156"/>
        <v>0</v>
      </c>
    </row>
    <row r="631" spans="1:16">
      <c r="A631" s="137">
        <v>18</v>
      </c>
      <c r="C631" s="37" t="s">
        <v>301</v>
      </c>
      <c r="D631" s="81" t="s">
        <v>190</v>
      </c>
      <c r="E631" s="32"/>
      <c r="F631" s="262">
        <f>[4]SCH_E1!$Q$124</f>
        <v>38306.308984884527</v>
      </c>
      <c r="G631" s="35">
        <f>ROUND(F631*VLOOKUP(D631,ALLOCTABLE_FUNCTIONAL,$G$10,FALSE),0)</f>
        <v>38306</v>
      </c>
      <c r="H631" s="35">
        <f>ROUND(F631*VLOOKUP(D631,ALLOCTABLE_FUNCTIONAL,$H$10,FALSE),0)</f>
        <v>0</v>
      </c>
      <c r="I631" s="34">
        <f>ROUND(F631*VLOOKUP(D631,ALLOCTABLE_FUNCTIONAL,$I$10,FALSE),0)</f>
        <v>0</v>
      </c>
      <c r="J631" s="146">
        <f>SUM(G631:I631)</f>
        <v>38306</v>
      </c>
      <c r="K631" s="146">
        <f>F631-J631</f>
        <v>0.30898488452658057</v>
      </c>
      <c r="L631" s="287">
        <v>38306.308984884527</v>
      </c>
      <c r="M631" s="308">
        <f t="shared" si="156"/>
        <v>0</v>
      </c>
    </row>
    <row r="632" spans="1:16">
      <c r="A632" s="137">
        <v>19</v>
      </c>
      <c r="C632" s="217" t="s">
        <v>300</v>
      </c>
      <c r="D632" s="81" t="s">
        <v>5</v>
      </c>
      <c r="E632" s="32"/>
      <c r="F632" s="262">
        <v>0</v>
      </c>
      <c r="G632" s="35">
        <f>ROUND(F632*VLOOKUP(D632,ALLOCTABLE_FUNCTIONAL,$G$10,FALSE),0)</f>
        <v>0</v>
      </c>
      <c r="H632" s="35">
        <f>ROUND(F632*VLOOKUP(D632,ALLOCTABLE_FUNCTIONAL,$H$10,FALSE),0)</f>
        <v>0</v>
      </c>
      <c r="I632" s="34">
        <f>ROUND(F632*VLOOKUP(D632,ALLOCTABLE_FUNCTIONAL,$I$10,FALSE),0)</f>
        <v>0</v>
      </c>
      <c r="J632" s="146">
        <f>SUM(G632:I632)</f>
        <v>0</v>
      </c>
      <c r="K632" s="146">
        <f>F632-J632</f>
        <v>0</v>
      </c>
      <c r="L632" s="287">
        <v>0</v>
      </c>
      <c r="M632" s="308">
        <f t="shared" si="156"/>
        <v>0</v>
      </c>
    </row>
    <row r="633" spans="1:16">
      <c r="A633" s="137">
        <v>20</v>
      </c>
      <c r="C633" s="3" t="s">
        <v>299</v>
      </c>
      <c r="D633" s="81"/>
      <c r="E633" s="32"/>
      <c r="F633" s="260">
        <f t="shared" ref="F633:K633" si="167">SUM(F628:F632)</f>
        <v>13541629.108984884</v>
      </c>
      <c r="G633" s="151">
        <f t="shared" si="167"/>
        <v>10462331</v>
      </c>
      <c r="H633" s="151">
        <f t="shared" si="167"/>
        <v>1405966</v>
      </c>
      <c r="I633" s="150">
        <f t="shared" si="167"/>
        <v>1673197</v>
      </c>
      <c r="J633" s="5">
        <f t="shared" si="167"/>
        <v>13541494</v>
      </c>
      <c r="K633" s="140">
        <f t="shared" si="167"/>
        <v>135.10898488340899</v>
      </c>
      <c r="L633" s="307">
        <v>22543844.308984883</v>
      </c>
      <c r="M633" s="308">
        <f t="shared" si="156"/>
        <v>9002215.1999999993</v>
      </c>
    </row>
    <row r="634" spans="1:16">
      <c r="A634" s="137">
        <v>21</v>
      </c>
      <c r="D634" s="81"/>
      <c r="E634" s="32"/>
      <c r="F634" s="258"/>
      <c r="G634" s="40"/>
      <c r="H634" s="40"/>
      <c r="I634" s="39"/>
      <c r="M634" s="308">
        <f t="shared" si="156"/>
        <v>0</v>
      </c>
    </row>
    <row r="635" spans="1:16">
      <c r="A635" s="137">
        <v>22</v>
      </c>
      <c r="B635" s="1" t="s">
        <v>298</v>
      </c>
      <c r="D635" s="81"/>
      <c r="E635" s="32"/>
      <c r="F635" s="258"/>
      <c r="G635" s="40"/>
      <c r="H635" s="40"/>
      <c r="I635" s="39"/>
      <c r="M635" s="308">
        <f t="shared" si="156"/>
        <v>0</v>
      </c>
    </row>
    <row r="636" spans="1:16">
      <c r="A636" s="137">
        <v>23</v>
      </c>
      <c r="C636" s="217" t="s">
        <v>297</v>
      </c>
      <c r="D636" s="81" t="s">
        <v>2</v>
      </c>
      <c r="E636" s="32"/>
      <c r="F636" s="262">
        <f>-[4]SCH_E1!$Q$128</f>
        <v>11316</v>
      </c>
      <c r="G636" s="35">
        <f>F636-SUM(H636:I636)</f>
        <v>6635</v>
      </c>
      <c r="H636" s="35">
        <f>ROUND(F636*VLOOKUP(D636,ALLOCTABLE_FUNCTIONAL,$H$10,FALSE),0)</f>
        <v>605</v>
      </c>
      <c r="I636" s="34">
        <f>ROUND(F636*VLOOKUP(D636,ALLOCTABLE_FUNCTIONAL,$I$10,FALSE),0)</f>
        <v>4076</v>
      </c>
      <c r="J636" s="153">
        <f>SUM(G636:I636)</f>
        <v>11316</v>
      </c>
      <c r="K636" s="153">
        <f>F636-J636</f>
        <v>0</v>
      </c>
      <c r="L636" s="317">
        <v>11316</v>
      </c>
      <c r="M636" s="308">
        <f t="shared" si="156"/>
        <v>0</v>
      </c>
    </row>
    <row r="637" spans="1:16">
      <c r="A637" s="137">
        <v>24</v>
      </c>
      <c r="C637" s="3" t="s">
        <v>296</v>
      </c>
      <c r="E637" s="32"/>
      <c r="F637" s="260">
        <f t="shared" ref="F637:K637" si="168">SUM(F636:F636)</f>
        <v>11316</v>
      </c>
      <c r="G637" s="151">
        <f t="shared" si="168"/>
        <v>6635</v>
      </c>
      <c r="H637" s="151">
        <f t="shared" si="168"/>
        <v>605</v>
      </c>
      <c r="I637" s="150">
        <f t="shared" si="168"/>
        <v>4076</v>
      </c>
      <c r="J637" s="5">
        <f t="shared" si="168"/>
        <v>11316</v>
      </c>
      <c r="K637" s="140">
        <f t="shared" si="168"/>
        <v>0</v>
      </c>
      <c r="L637" s="307">
        <v>11316</v>
      </c>
      <c r="M637" s="308">
        <f t="shared" si="156"/>
        <v>0</v>
      </c>
    </row>
    <row r="638" spans="1:16">
      <c r="A638" s="137">
        <v>25</v>
      </c>
      <c r="E638" s="32"/>
      <c r="F638" s="274"/>
      <c r="G638" s="76"/>
      <c r="H638" s="76"/>
      <c r="I638" s="75"/>
      <c r="J638" s="74"/>
      <c r="K638" s="33"/>
      <c r="L638" s="295"/>
      <c r="M638" s="308">
        <f t="shared" si="156"/>
        <v>0</v>
      </c>
    </row>
    <row r="639" spans="1:16" ht="15.6">
      <c r="A639" s="137">
        <v>26</v>
      </c>
      <c r="B639" s="1" t="s">
        <v>295</v>
      </c>
      <c r="D639" s="216"/>
      <c r="E639" s="212"/>
      <c r="F639" s="274"/>
      <c r="G639" s="76"/>
      <c r="H639" s="76"/>
      <c r="I639" s="75"/>
      <c r="J639" s="74"/>
      <c r="K639" s="33"/>
      <c r="L639" s="295"/>
      <c r="M639" s="308">
        <f t="shared" si="156"/>
        <v>0</v>
      </c>
    </row>
    <row r="640" spans="1:16">
      <c r="A640" s="137">
        <v>27</v>
      </c>
      <c r="C640" s="37" t="s">
        <v>294</v>
      </c>
      <c r="D640" s="81" t="s">
        <v>7</v>
      </c>
      <c r="F640" s="262">
        <v>0</v>
      </c>
      <c r="G640" s="35">
        <f>ROUND(F640*VLOOKUP(D640,ALLOCTABLE_FUNCTIONAL,$G$10,FALSE),0)</f>
        <v>0</v>
      </c>
      <c r="H640" s="35">
        <f>ROUND(F640*VLOOKUP(D640,ALLOCTABLE_FUNCTIONAL,$H$10,FALSE),0)</f>
        <v>0</v>
      </c>
      <c r="I640" s="34">
        <f>ROUND(F640*VLOOKUP(D640,ALLOCTABLE_FUNCTIONAL,$I$10,FALSE),0)</f>
        <v>0</v>
      </c>
      <c r="J640" s="146">
        <f>SUM(G640:I640)</f>
        <v>0</v>
      </c>
      <c r="K640" s="146">
        <f>F640-J640</f>
        <v>0</v>
      </c>
      <c r="L640" s="287">
        <v>0</v>
      </c>
      <c r="M640" s="308">
        <f t="shared" si="156"/>
        <v>0</v>
      </c>
    </row>
    <row r="641" spans="1:15">
      <c r="A641" s="137">
        <v>28</v>
      </c>
      <c r="C641" s="37" t="s">
        <v>293</v>
      </c>
      <c r="D641" s="81" t="s">
        <v>43</v>
      </c>
      <c r="F641" s="262">
        <v>0</v>
      </c>
      <c r="G641" s="35">
        <f>ROUND(F641*VLOOKUP(D641,ALLOCTABLE_FUNCTIONAL,$G$10,FALSE),0)</f>
        <v>0</v>
      </c>
      <c r="H641" s="35">
        <f>ROUND(F641*VLOOKUP(D641,ALLOCTABLE_FUNCTIONAL,$H$10,FALSE),0)</f>
        <v>0</v>
      </c>
      <c r="I641" s="34">
        <f>ROUND(F641*VLOOKUP(D641,ALLOCTABLE_FUNCTIONAL,$I$10,FALSE),0)</f>
        <v>0</v>
      </c>
      <c r="J641" s="146">
        <f>SUM(G641:I641)</f>
        <v>0</v>
      </c>
      <c r="K641" s="146">
        <f>F641-J641</f>
        <v>0</v>
      </c>
      <c r="L641" s="287">
        <v>0</v>
      </c>
      <c r="M641" s="308">
        <f t="shared" si="156"/>
        <v>0</v>
      </c>
    </row>
    <row r="642" spans="1:15" ht="15.6">
      <c r="A642" s="137">
        <v>29</v>
      </c>
      <c r="C642" s="152" t="s">
        <v>292</v>
      </c>
      <c r="D642" s="216"/>
      <c r="E642" s="212"/>
      <c r="F642" s="260">
        <f t="shared" ref="F642:K642" si="169">SUM(F640:F641)</f>
        <v>0</v>
      </c>
      <c r="G642" s="151">
        <f t="shared" si="169"/>
        <v>0</v>
      </c>
      <c r="H642" s="151">
        <f t="shared" si="169"/>
        <v>0</v>
      </c>
      <c r="I642" s="150">
        <f t="shared" si="169"/>
        <v>0</v>
      </c>
      <c r="J642" s="5">
        <f t="shared" si="169"/>
        <v>0</v>
      </c>
      <c r="K642" s="5">
        <f t="shared" si="169"/>
        <v>0</v>
      </c>
      <c r="L642" s="307">
        <v>0</v>
      </c>
      <c r="M642" s="308">
        <f t="shared" si="156"/>
        <v>0</v>
      </c>
    </row>
    <row r="643" spans="1:15" ht="15.6">
      <c r="A643" s="137">
        <v>30</v>
      </c>
      <c r="B643" s="215"/>
      <c r="C643" s="214"/>
      <c r="D643" s="213"/>
      <c r="E643" s="212"/>
      <c r="F643" s="274"/>
      <c r="G643" s="76"/>
      <c r="H643" s="76"/>
      <c r="I643" s="75"/>
      <c r="J643" s="74"/>
      <c r="K643" s="74"/>
      <c r="L643" s="295"/>
      <c r="M643" s="308">
        <f t="shared" si="156"/>
        <v>0</v>
      </c>
    </row>
    <row r="644" spans="1:15" ht="15.6">
      <c r="A644" s="137">
        <v>31</v>
      </c>
      <c r="B644" s="1" t="s">
        <v>291</v>
      </c>
      <c r="C644" s="214"/>
      <c r="D644" s="213"/>
      <c r="E644" s="212"/>
      <c r="F644" s="274"/>
      <c r="G644" s="76"/>
      <c r="H644" s="76"/>
      <c r="I644" s="75"/>
      <c r="J644" s="74"/>
      <c r="K644" s="74"/>
      <c r="L644" s="295"/>
      <c r="M644" s="308">
        <f t="shared" si="156"/>
        <v>0</v>
      </c>
    </row>
    <row r="645" spans="1:15">
      <c r="A645" s="137">
        <v>32</v>
      </c>
      <c r="C645" s="3" t="s">
        <v>290</v>
      </c>
      <c r="D645" s="12"/>
      <c r="E645" s="32"/>
      <c r="F645" s="259">
        <f t="shared" ref="F645:K645" si="170">F633</f>
        <v>13541629.108984884</v>
      </c>
      <c r="G645" s="35">
        <f t="shared" si="170"/>
        <v>10462331</v>
      </c>
      <c r="H645" s="35">
        <f t="shared" si="170"/>
        <v>1405966</v>
      </c>
      <c r="I645" s="34">
        <f t="shared" si="170"/>
        <v>1673197</v>
      </c>
      <c r="J645" s="146">
        <f t="shared" si="170"/>
        <v>13541494</v>
      </c>
      <c r="K645" s="146">
        <f t="shared" si="170"/>
        <v>135.10898488340899</v>
      </c>
      <c r="L645" s="298">
        <v>22543844.308984883</v>
      </c>
      <c r="M645" s="308">
        <f t="shared" si="156"/>
        <v>9002215.1999999993</v>
      </c>
    </row>
    <row r="646" spans="1:15">
      <c r="A646" s="137">
        <v>33</v>
      </c>
      <c r="C646" s="154" t="s">
        <v>289</v>
      </c>
      <c r="D646" s="12"/>
      <c r="E646" s="32"/>
      <c r="F646" s="259">
        <f t="shared" ref="F646:K646" si="171">-F637-F642</f>
        <v>-11316</v>
      </c>
      <c r="G646" s="35">
        <f t="shared" si="171"/>
        <v>-6635</v>
      </c>
      <c r="H646" s="35">
        <f t="shared" si="171"/>
        <v>-605</v>
      </c>
      <c r="I646" s="34">
        <f t="shared" si="171"/>
        <v>-4076</v>
      </c>
      <c r="J646" s="10">
        <f t="shared" si="171"/>
        <v>-11316</v>
      </c>
      <c r="K646" s="10">
        <f t="shared" si="171"/>
        <v>0</v>
      </c>
      <c r="L646" s="298">
        <v>-11316</v>
      </c>
      <c r="M646" s="308">
        <f t="shared" si="156"/>
        <v>0</v>
      </c>
    </row>
    <row r="647" spans="1:15">
      <c r="A647" s="137">
        <v>34</v>
      </c>
      <c r="C647" s="3" t="s">
        <v>288</v>
      </c>
      <c r="D647" s="12"/>
      <c r="E647" s="32"/>
      <c r="F647" s="260">
        <f t="shared" ref="F647:K647" si="172">SUM(F645:F646)</f>
        <v>13530313.108984884</v>
      </c>
      <c r="G647" s="151">
        <f t="shared" si="172"/>
        <v>10455696</v>
      </c>
      <c r="H647" s="151">
        <f t="shared" si="172"/>
        <v>1405361</v>
      </c>
      <c r="I647" s="150">
        <f t="shared" si="172"/>
        <v>1669121</v>
      </c>
      <c r="J647" s="5">
        <f t="shared" si="172"/>
        <v>13530178</v>
      </c>
      <c r="K647" s="5">
        <f t="shared" si="172"/>
        <v>135.10898488340899</v>
      </c>
      <c r="L647" s="307">
        <v>22532528.308984883</v>
      </c>
      <c r="M647" s="308">
        <f t="shared" si="156"/>
        <v>9002215.1999999993</v>
      </c>
    </row>
    <row r="648" spans="1:15">
      <c r="A648" s="137">
        <v>35</v>
      </c>
      <c r="D648" s="12"/>
      <c r="E648" s="32"/>
      <c r="F648" s="258"/>
      <c r="G648" s="40"/>
      <c r="H648" s="40"/>
      <c r="I648" s="39"/>
      <c r="M648" s="308">
        <f t="shared" si="156"/>
        <v>0</v>
      </c>
    </row>
    <row r="649" spans="1:15">
      <c r="A649" s="137">
        <v>36</v>
      </c>
      <c r="B649" s="1" t="s">
        <v>287</v>
      </c>
      <c r="D649" s="12"/>
      <c r="E649" s="32"/>
      <c r="F649" s="258"/>
      <c r="G649" s="40"/>
      <c r="H649" s="40"/>
      <c r="I649" s="39"/>
      <c r="M649" s="308">
        <f t="shared" si="156"/>
        <v>0</v>
      </c>
    </row>
    <row r="650" spans="1:15">
      <c r="A650" s="137">
        <v>37</v>
      </c>
      <c r="C650" s="3" t="s">
        <v>232</v>
      </c>
      <c r="D650" s="12"/>
      <c r="E650" s="32"/>
      <c r="F650" s="259">
        <f>F417</f>
        <v>49938772</v>
      </c>
      <c r="G650" s="35">
        <f>G417</f>
        <v>32905157</v>
      </c>
      <c r="H650" s="35">
        <f>H417</f>
        <v>2736145</v>
      </c>
      <c r="I650" s="34">
        <f>I417</f>
        <v>14297470</v>
      </c>
      <c r="J650" s="146">
        <f>J417</f>
        <v>49938772</v>
      </c>
      <c r="K650" s="146">
        <f>F650-J650</f>
        <v>0</v>
      </c>
      <c r="L650" s="298">
        <v>49938772</v>
      </c>
      <c r="M650" s="308">
        <f t="shared" si="156"/>
        <v>0</v>
      </c>
    </row>
    <row r="651" spans="1:15">
      <c r="A651" s="137">
        <v>38</v>
      </c>
      <c r="C651" s="3" t="s">
        <v>286</v>
      </c>
      <c r="D651" s="12"/>
      <c r="E651" s="32"/>
      <c r="F651" s="259">
        <f>-F625</f>
        <v>-78065527</v>
      </c>
      <c r="G651" s="35">
        <f>-G625</f>
        <v>-51903558</v>
      </c>
      <c r="H651" s="35">
        <f>-H625</f>
        <v>-3268110</v>
      </c>
      <c r="I651" s="34">
        <f>-I625</f>
        <v>-22893859</v>
      </c>
      <c r="J651" s="146">
        <f>-J625</f>
        <v>-78065527</v>
      </c>
      <c r="K651" s="146">
        <f>F651-J651</f>
        <v>0</v>
      </c>
      <c r="L651" s="298">
        <v>-78065527</v>
      </c>
      <c r="M651" s="308">
        <f t="shared" si="156"/>
        <v>0</v>
      </c>
    </row>
    <row r="652" spans="1:15">
      <c r="A652" s="137">
        <v>39</v>
      </c>
      <c r="C652" s="38" t="s">
        <v>280</v>
      </c>
      <c r="D652" s="12"/>
      <c r="E652" s="170"/>
      <c r="F652" s="259">
        <f>F647</f>
        <v>13530313.108984884</v>
      </c>
      <c r="G652" s="35">
        <f>G647</f>
        <v>10455696</v>
      </c>
      <c r="H652" s="35">
        <f>H647</f>
        <v>1405361</v>
      </c>
      <c r="I652" s="34">
        <f>I647</f>
        <v>1669121</v>
      </c>
      <c r="J652" s="146">
        <f>J647</f>
        <v>13530178</v>
      </c>
      <c r="K652" s="146">
        <f>F652-J652</f>
        <v>135.10898488387465</v>
      </c>
      <c r="L652" s="298">
        <v>22532528.308984883</v>
      </c>
      <c r="M652" s="308">
        <f t="shared" ref="M652:M715" si="173">L652-F652</f>
        <v>9002215.1999999993</v>
      </c>
    </row>
    <row r="653" spans="1:15">
      <c r="A653" s="137">
        <v>40</v>
      </c>
      <c r="C653" s="38" t="s">
        <v>285</v>
      </c>
      <c r="D653" s="12"/>
      <c r="E653" s="170"/>
      <c r="F653" s="259">
        <f>F691</f>
        <v>577601.69101511547</v>
      </c>
      <c r="G653" s="35">
        <f>G691</f>
        <v>339144.69101511547</v>
      </c>
      <c r="H653" s="35">
        <f>H691</f>
        <v>30526</v>
      </c>
      <c r="I653" s="34">
        <f>I691</f>
        <v>207931</v>
      </c>
      <c r="J653" s="10">
        <f>J691</f>
        <v>577601.69101511547</v>
      </c>
      <c r="K653" s="146">
        <f>F653-J653</f>
        <v>0</v>
      </c>
      <c r="L653" s="298">
        <v>577601.69101511547</v>
      </c>
      <c r="M653" s="308">
        <f t="shared" si="173"/>
        <v>0</v>
      </c>
    </row>
    <row r="654" spans="1:15">
      <c r="A654" s="137">
        <v>41</v>
      </c>
      <c r="C654" s="38" t="s">
        <v>221</v>
      </c>
      <c r="D654" s="12"/>
      <c r="E654" s="32"/>
      <c r="F654" s="275"/>
      <c r="G654" s="35">
        <f>G24</f>
        <v>0</v>
      </c>
      <c r="H654" s="35">
        <f>H24</f>
        <v>0</v>
      </c>
      <c r="I654" s="34">
        <f>I24</f>
        <v>0</v>
      </c>
      <c r="J654" s="10">
        <f>J24</f>
        <v>0</v>
      </c>
      <c r="K654" s="146">
        <f>F654-J654</f>
        <v>0</v>
      </c>
      <c r="L654" s="318"/>
      <c r="M654" s="308">
        <f t="shared" si="173"/>
        <v>0</v>
      </c>
      <c r="O654" s="85"/>
    </row>
    <row r="655" spans="1:15">
      <c r="A655" s="137">
        <v>42</v>
      </c>
      <c r="C655" s="152" t="s">
        <v>284</v>
      </c>
      <c r="D655" s="12"/>
      <c r="E655" s="211"/>
      <c r="F655" s="259">
        <f t="shared" ref="F655:K655" si="174">SUM(F650:F654)</f>
        <v>-14018840.200000001</v>
      </c>
      <c r="G655" s="151">
        <f t="shared" si="174"/>
        <v>-8203560.308984885</v>
      </c>
      <c r="H655" s="151">
        <f t="shared" si="174"/>
        <v>903922</v>
      </c>
      <c r="I655" s="150">
        <f t="shared" si="174"/>
        <v>-6719337</v>
      </c>
      <c r="J655" s="207">
        <f t="shared" si="174"/>
        <v>-14018975.308984885</v>
      </c>
      <c r="K655" s="207">
        <f t="shared" si="174"/>
        <v>135.10898488387465</v>
      </c>
      <c r="L655" s="298">
        <v>-5016625.0000000019</v>
      </c>
      <c r="M655" s="308">
        <f t="shared" si="173"/>
        <v>9002215.1999999993</v>
      </c>
      <c r="O655" s="85"/>
    </row>
    <row r="656" spans="1:15">
      <c r="A656" s="137">
        <v>43</v>
      </c>
      <c r="D656" s="12"/>
      <c r="E656" s="210"/>
      <c r="F656" s="258"/>
      <c r="G656" s="40"/>
      <c r="H656" s="40"/>
      <c r="I656" s="39"/>
      <c r="M656" s="308">
        <f t="shared" si="173"/>
        <v>0</v>
      </c>
      <c r="N656" s="85"/>
    </row>
    <row r="657" spans="1:15">
      <c r="A657" s="137">
        <v>44</v>
      </c>
      <c r="C657" s="3" t="s">
        <v>283</v>
      </c>
      <c r="D657" s="12"/>
      <c r="E657" s="32"/>
      <c r="F657" s="271">
        <f>ROUND(F799/(1-F799),9)</f>
        <v>0.26582278500000001</v>
      </c>
      <c r="G657" s="29">
        <f>ROUND(G799/(1-G799),9)</f>
        <v>0.26582278500000001</v>
      </c>
      <c r="H657" s="29">
        <f>ROUND(H799/(1-H799),9)</f>
        <v>0.26582278500000001</v>
      </c>
      <c r="I657" s="28">
        <f>ROUND(I799/(1-I799),9)</f>
        <v>0.26582278500000001</v>
      </c>
      <c r="J657" s="19"/>
      <c r="K657" s="19">
        <f>ROUND(K799/(1-K799),9)</f>
        <v>0.26582278500000001</v>
      </c>
      <c r="L657" s="299">
        <v>0.53846153799999996</v>
      </c>
      <c r="M657" s="308">
        <f t="shared" si="173"/>
        <v>0.27263875299999996</v>
      </c>
      <c r="O657" s="177"/>
    </row>
    <row r="658" spans="1:15">
      <c r="A658" s="137">
        <v>45</v>
      </c>
      <c r="C658" s="3" t="s">
        <v>282</v>
      </c>
      <c r="D658" s="173"/>
      <c r="E658" s="32"/>
      <c r="F658" s="259">
        <f>ROUND(F657*F655,0)</f>
        <v>-3726527</v>
      </c>
      <c r="G658" s="35">
        <f>F658-SUM(H658:I658)</f>
        <v>-2180657</v>
      </c>
      <c r="H658" s="35">
        <f>ROUND(H655*H657,0)</f>
        <v>240283</v>
      </c>
      <c r="I658" s="34">
        <f>ROUND(I655*I657,0)</f>
        <v>-1786153</v>
      </c>
      <c r="J658" s="146">
        <f>SUM(G658:I658)</f>
        <v>-3726527</v>
      </c>
      <c r="K658" s="146">
        <f>F658-J658</f>
        <v>0</v>
      </c>
      <c r="L658" s="298">
        <v>-2701260</v>
      </c>
      <c r="M658" s="308">
        <f t="shared" si="173"/>
        <v>1025267</v>
      </c>
      <c r="N658" s="1" t="s">
        <v>281</v>
      </c>
      <c r="O658" s="85"/>
    </row>
    <row r="659" spans="1:15">
      <c r="A659" s="137">
        <v>46</v>
      </c>
      <c r="C659" s="154" t="s">
        <v>280</v>
      </c>
      <c r="D659" s="12"/>
      <c r="E659" s="170"/>
      <c r="F659" s="259">
        <f>F647</f>
        <v>13530313.108984884</v>
      </c>
      <c r="G659" s="35">
        <f>G647</f>
        <v>10455696</v>
      </c>
      <c r="H659" s="35">
        <f>H647</f>
        <v>1405361</v>
      </c>
      <c r="I659" s="34">
        <f>I647</f>
        <v>1669121</v>
      </c>
      <c r="J659" s="146">
        <f>J647</f>
        <v>13530178</v>
      </c>
      <c r="K659" s="146">
        <f>F659-J659</f>
        <v>135.10898488387465</v>
      </c>
      <c r="L659" s="298">
        <v>22532528.308984883</v>
      </c>
      <c r="M659" s="308">
        <f t="shared" si="173"/>
        <v>9002215.1999999993</v>
      </c>
      <c r="N659" s="85"/>
      <c r="O659" s="85"/>
    </row>
    <row r="660" spans="1:15">
      <c r="A660" s="137">
        <v>47</v>
      </c>
      <c r="C660" s="3" t="s">
        <v>279</v>
      </c>
      <c r="D660" s="12"/>
      <c r="E660" s="170"/>
      <c r="F660" s="260">
        <f t="shared" ref="F660:K660" si="175">SUM(F658:F659)</f>
        <v>9803786.1089848839</v>
      </c>
      <c r="G660" s="151">
        <f t="shared" si="175"/>
        <v>8275039</v>
      </c>
      <c r="H660" s="151">
        <f t="shared" si="175"/>
        <v>1645644</v>
      </c>
      <c r="I660" s="150">
        <f t="shared" si="175"/>
        <v>-117032</v>
      </c>
      <c r="J660" s="207">
        <f t="shared" si="175"/>
        <v>9803651</v>
      </c>
      <c r="K660" s="207">
        <f t="shared" si="175"/>
        <v>135.10898488387465</v>
      </c>
      <c r="L660" s="319">
        <v>19831268.308984883</v>
      </c>
      <c r="M660" s="308">
        <f t="shared" si="173"/>
        <v>10027482.199999999</v>
      </c>
    </row>
    <row r="661" spans="1:15">
      <c r="A661" s="137">
        <v>48</v>
      </c>
      <c r="D661" s="12"/>
      <c r="E661" s="170"/>
      <c r="F661" s="258"/>
      <c r="G661" s="40"/>
      <c r="H661" s="40"/>
      <c r="I661" s="39"/>
      <c r="M661" s="308">
        <f t="shared" si="173"/>
        <v>0</v>
      </c>
    </row>
    <row r="662" spans="1:15">
      <c r="A662" s="137">
        <v>49</v>
      </c>
      <c r="B662" s="1" t="s">
        <v>258</v>
      </c>
      <c r="D662" s="12"/>
      <c r="E662" s="32"/>
      <c r="F662" s="258"/>
      <c r="G662" s="40"/>
      <c r="H662" s="40"/>
      <c r="I662" s="39"/>
      <c r="M662" s="308">
        <f t="shared" si="173"/>
        <v>0</v>
      </c>
    </row>
    <row r="663" spans="1:15">
      <c r="A663" s="137">
        <v>50</v>
      </c>
      <c r="B663" s="1" t="s">
        <v>278</v>
      </c>
      <c r="D663" s="12"/>
      <c r="E663" s="32"/>
      <c r="F663" s="258"/>
      <c r="G663" s="40"/>
      <c r="H663" s="40"/>
      <c r="I663" s="39"/>
      <c r="M663" s="308">
        <f t="shared" si="173"/>
        <v>0</v>
      </c>
      <c r="N663" s="177"/>
    </row>
    <row r="664" spans="1:15">
      <c r="A664" s="137">
        <v>51</v>
      </c>
      <c r="C664" s="3" t="s">
        <v>277</v>
      </c>
      <c r="D664" s="12"/>
      <c r="E664" s="32"/>
      <c r="F664" s="259">
        <f t="shared" ref="F664:K664" si="176">F658</f>
        <v>-3726527</v>
      </c>
      <c r="G664" s="35">
        <f t="shared" si="176"/>
        <v>-2180657</v>
      </c>
      <c r="H664" s="35">
        <f t="shared" si="176"/>
        <v>240283</v>
      </c>
      <c r="I664" s="34">
        <f t="shared" si="176"/>
        <v>-1786153</v>
      </c>
      <c r="J664" s="146">
        <f t="shared" si="176"/>
        <v>-3726527</v>
      </c>
      <c r="K664" s="146">
        <f t="shared" si="176"/>
        <v>0</v>
      </c>
      <c r="L664" s="298">
        <v>-2701260</v>
      </c>
      <c r="M664" s="308">
        <f t="shared" si="173"/>
        <v>1025267</v>
      </c>
    </row>
    <row r="665" spans="1:15">
      <c r="A665" s="137">
        <v>53</v>
      </c>
      <c r="C665" s="152" t="s">
        <v>276</v>
      </c>
      <c r="D665" s="12"/>
      <c r="E665" s="32"/>
      <c r="F665" s="260">
        <f t="shared" ref="F665:K665" si="177">SUM(F664:F664)</f>
        <v>-3726527</v>
      </c>
      <c r="G665" s="209">
        <f t="shared" si="177"/>
        <v>-2180657</v>
      </c>
      <c r="H665" s="209">
        <f t="shared" si="177"/>
        <v>240283</v>
      </c>
      <c r="I665" s="208">
        <f t="shared" si="177"/>
        <v>-1786153</v>
      </c>
      <c r="J665" s="207">
        <f t="shared" si="177"/>
        <v>-3726527</v>
      </c>
      <c r="K665" s="207">
        <f t="shared" si="177"/>
        <v>0</v>
      </c>
      <c r="L665" s="319">
        <v>-2701260</v>
      </c>
      <c r="M665" s="308">
        <f t="shared" si="173"/>
        <v>1025267</v>
      </c>
    </row>
    <row r="666" spans="1:15">
      <c r="A666" s="137"/>
      <c r="D666" s="12"/>
      <c r="E666" s="32"/>
      <c r="F666" s="258"/>
      <c r="G666" s="38"/>
      <c r="H666" s="38"/>
      <c r="I666" s="38"/>
      <c r="M666" s="308">
        <f t="shared" si="173"/>
        <v>0</v>
      </c>
    </row>
    <row r="667" spans="1:15">
      <c r="A667" s="67" t="str">
        <f>co_name</f>
        <v>DUKE ENERGY KENTUCKY, INC.</v>
      </c>
      <c r="B667" s="67"/>
      <c r="C667" s="32"/>
      <c r="D667" s="12"/>
      <c r="E667" s="32"/>
      <c r="F667" s="255"/>
      <c r="G667" s="27"/>
      <c r="H667" s="27"/>
      <c r="I667" s="27"/>
      <c r="J667" s="27" t="str">
        <f>J1</f>
        <v>FR-16(7)(v)-1</v>
      </c>
      <c r="K667" s="27"/>
      <c r="L667" s="253"/>
      <c r="M667" s="308">
        <f t="shared" si="173"/>
        <v>0</v>
      </c>
    </row>
    <row r="668" spans="1:15">
      <c r="A668" s="67" t="str">
        <f>$A$2</f>
        <v>FUNCTIONAL ELECTRIC COST OF SERVICE</v>
      </c>
      <c r="B668" s="67"/>
      <c r="C668" s="32"/>
      <c r="D668" s="12"/>
      <c r="E668" s="32"/>
      <c r="F668" s="255"/>
      <c r="G668" s="27"/>
      <c r="H668" s="27"/>
      <c r="I668" s="27"/>
      <c r="J668" s="27" t="str">
        <f>J2</f>
        <v>WITNESS RESPONSIBLE:</v>
      </c>
      <c r="K668" s="27"/>
      <c r="L668" s="253"/>
      <c r="M668" s="308">
        <f t="shared" si="173"/>
        <v>0</v>
      </c>
    </row>
    <row r="669" spans="1:15">
      <c r="A669" s="67" t="str">
        <f>case_name</f>
        <v>CASE NO: 2017-00321</v>
      </c>
      <c r="B669" s="67"/>
      <c r="C669" s="32"/>
      <c r="D669" s="12"/>
      <c r="E669" s="32"/>
      <c r="F669" s="255"/>
      <c r="G669" s="27"/>
      <c r="H669" s="27"/>
      <c r="I669" s="27"/>
      <c r="J669" s="27" t="str">
        <f>Witness</f>
        <v>JAMES E. ZIOLKOWSKI</v>
      </c>
      <c r="K669" s="27"/>
      <c r="L669" s="253"/>
      <c r="M669" s="308">
        <f t="shared" si="173"/>
        <v>0</v>
      </c>
    </row>
    <row r="670" spans="1:15">
      <c r="A670" s="67" t="str">
        <f>data_filing</f>
        <v>DATA: 12 MONTHS ACTUAL  &amp; 0 MONTHS ESTIMATED</v>
      </c>
      <c r="B670" s="67"/>
      <c r="C670" s="32"/>
      <c r="D670" s="12"/>
      <c r="E670" s="32"/>
      <c r="F670" s="255"/>
      <c r="G670" s="27"/>
      <c r="H670" s="27"/>
      <c r="I670" s="27"/>
      <c r="J670" s="32" t="str">
        <f>"PAGE "&amp;Pages-5&amp;" OF "&amp;Pages</f>
        <v>PAGE 13 OF 18</v>
      </c>
      <c r="K670" s="27"/>
      <c r="L670" s="253"/>
      <c r="M670" s="308">
        <f t="shared" si="173"/>
        <v>0</v>
      </c>
    </row>
    <row r="671" spans="1:15">
      <c r="A671" s="67" t="str">
        <f>type</f>
        <v xml:space="preserve">TYPE OF FILING: "X" ORIGINAL   UPDATED    REVISED  </v>
      </c>
      <c r="B671" s="67"/>
      <c r="C671" s="32"/>
      <c r="D671" s="12"/>
      <c r="E671" s="32"/>
      <c r="F671" s="255"/>
      <c r="G671" s="27"/>
      <c r="H671" s="27"/>
      <c r="I671" s="27"/>
      <c r="J671" s="27"/>
      <c r="K671" s="27"/>
      <c r="L671" s="253"/>
      <c r="M671" s="308">
        <f t="shared" si="173"/>
        <v>0</v>
      </c>
    </row>
    <row r="672" spans="1:15">
      <c r="B672" s="67"/>
      <c r="C672" s="32"/>
      <c r="D672" s="12"/>
      <c r="E672" s="32"/>
      <c r="F672" s="255"/>
      <c r="G672" s="27"/>
      <c r="H672" s="27"/>
      <c r="I672" s="27"/>
      <c r="J672" s="27"/>
      <c r="K672" s="27"/>
      <c r="L672" s="253"/>
      <c r="M672" s="308">
        <f t="shared" si="173"/>
        <v>0</v>
      </c>
    </row>
    <row r="673" spans="1:14">
      <c r="B673" s="67"/>
      <c r="C673" s="32"/>
      <c r="D673" s="12"/>
      <c r="E673" s="32"/>
      <c r="F673" s="255"/>
      <c r="G673" s="27"/>
      <c r="H673" s="27"/>
      <c r="I673" s="27"/>
      <c r="J673" s="27"/>
      <c r="K673" s="27"/>
      <c r="L673" s="253"/>
      <c r="M673" s="308">
        <f t="shared" si="173"/>
        <v>0</v>
      </c>
    </row>
    <row r="674" spans="1:14">
      <c r="A674" s="8" t="s">
        <v>91</v>
      </c>
      <c r="B674" s="157"/>
      <c r="C674" s="206"/>
      <c r="D674" s="206"/>
      <c r="E674" s="32"/>
      <c r="F674" s="256" t="s">
        <v>1</v>
      </c>
      <c r="G674" s="65" t="s">
        <v>90</v>
      </c>
      <c r="H674" s="65"/>
      <c r="I674" s="64"/>
      <c r="J674" s="8" t="s">
        <v>1</v>
      </c>
      <c r="K674" s="8" t="s">
        <v>89</v>
      </c>
      <c r="L674" s="284" t="s">
        <v>1</v>
      </c>
      <c r="M674" s="308" t="e">
        <f t="shared" si="173"/>
        <v>#VALUE!</v>
      </c>
    </row>
    <row r="675" spans="1:14">
      <c r="A675" s="57" t="s">
        <v>88</v>
      </c>
      <c r="B675" s="205" t="s">
        <v>275</v>
      </c>
      <c r="C675" s="204"/>
      <c r="D675" s="203" t="s">
        <v>274</v>
      </c>
      <c r="E675" s="62"/>
      <c r="F675" s="264" t="str">
        <f>$F$9</f>
        <v>ELECTRIC</v>
      </c>
      <c r="G675" s="59" t="s">
        <v>273</v>
      </c>
      <c r="H675" s="59" t="s">
        <v>272</v>
      </c>
      <c r="I675" s="58" t="s">
        <v>271</v>
      </c>
      <c r="J675" s="57" t="s">
        <v>84</v>
      </c>
      <c r="K675" s="57" t="s">
        <v>83</v>
      </c>
      <c r="L675" s="285" t="s">
        <v>82</v>
      </c>
      <c r="M675" s="308" t="e">
        <f t="shared" si="173"/>
        <v>#VALUE!</v>
      </c>
    </row>
    <row r="676" spans="1:14" ht="15">
      <c r="A676" s="195"/>
      <c r="B676" s="202"/>
      <c r="C676" s="201" t="s">
        <v>270</v>
      </c>
      <c r="D676" s="194"/>
      <c r="E676" s="32"/>
      <c r="F676" s="258"/>
      <c r="G676" s="200">
        <f>$G$10</f>
        <v>3</v>
      </c>
      <c r="H676" s="200">
        <f>$H$10</f>
        <v>4</v>
      </c>
      <c r="I676" s="199">
        <f>$I$10</f>
        <v>5</v>
      </c>
      <c r="M676" s="308">
        <f t="shared" si="173"/>
        <v>0</v>
      </c>
    </row>
    <row r="677" spans="1:14">
      <c r="A677" s="158">
        <v>1</v>
      </c>
      <c r="B677" s="198" t="s">
        <v>269</v>
      </c>
      <c r="C677" s="157"/>
      <c r="D677" s="157"/>
      <c r="E677" s="32"/>
      <c r="F677" s="255"/>
      <c r="G677" s="197"/>
      <c r="H677" s="197"/>
      <c r="I677" s="196"/>
      <c r="J677" s="27"/>
      <c r="K677" s="27"/>
      <c r="L677" s="253"/>
      <c r="M677" s="308">
        <f t="shared" si="173"/>
        <v>0</v>
      </c>
    </row>
    <row r="678" spans="1:14">
      <c r="A678" s="158">
        <v>2</v>
      </c>
      <c r="B678" s="187" t="s">
        <v>268</v>
      </c>
      <c r="C678" s="157"/>
      <c r="D678" s="186" t="s">
        <v>2</v>
      </c>
      <c r="E678" s="32"/>
      <c r="F678" s="265">
        <f>-[4]SCH_E1!$Q$66</f>
        <v>-55679195.225511841</v>
      </c>
      <c r="G678" s="35">
        <f>ROUND(F678*VLOOKUP(D678,ALLOCTABLE_FUNCTIONAL,$G$10,FALSE),0)</f>
        <v>-32644712</v>
      </c>
      <c r="H678" s="35">
        <f>ROUND(F678*VLOOKUP(D678,ALLOCTABLE_FUNCTIONAL,$H$10,FALSE),0)</f>
        <v>-2976610</v>
      </c>
      <c r="I678" s="34">
        <f>ROUND(F678*VLOOKUP(D678,ALLOCTABLE_FUNCTIONAL,$I$10,FALSE),0)</f>
        <v>-20057873</v>
      </c>
      <c r="J678" s="146">
        <f>SUM(G678:I678)</f>
        <v>-55679195</v>
      </c>
      <c r="K678" s="146">
        <f>F678-J678</f>
        <v>-0.22551184147596359</v>
      </c>
      <c r="L678" s="306">
        <v>-55679195.225511841</v>
      </c>
      <c r="M678" s="308">
        <f t="shared" si="173"/>
        <v>0</v>
      </c>
    </row>
    <row r="679" spans="1:14">
      <c r="A679" s="158">
        <v>3</v>
      </c>
      <c r="B679" s="187" t="s">
        <v>267</v>
      </c>
      <c r="C679" s="169"/>
      <c r="D679" s="186" t="s">
        <v>2</v>
      </c>
      <c r="E679" s="32"/>
      <c r="F679" s="270"/>
      <c r="G679" s="148">
        <f>ROUND(F679*VLOOKUP(D679,ALLOCTABLE_FUNCTIONAL,$G$10,FALSE),0)</f>
        <v>0</v>
      </c>
      <c r="H679" s="148">
        <f>ROUND(F679*VLOOKUP(D679,ALLOCTABLE_FUNCTIONAL,$H$10,FALSE),0)</f>
        <v>0</v>
      </c>
      <c r="I679" s="147">
        <f>ROUND(F679*VLOOKUP(D679,ALLOCTABLE_FUNCTIONAL,$I$10,FALSE),0)</f>
        <v>0</v>
      </c>
      <c r="J679" s="185">
        <f>SUM(G679:I679)</f>
        <v>0</v>
      </c>
      <c r="K679" s="185">
        <f>F679-J679</f>
        <v>0</v>
      </c>
      <c r="L679" s="320"/>
      <c r="M679" s="308">
        <f t="shared" si="173"/>
        <v>0</v>
      </c>
      <c r="N679" s="85"/>
    </row>
    <row r="680" spans="1:14">
      <c r="A680" s="158">
        <v>4</v>
      </c>
      <c r="B680" s="184" t="s">
        <v>266</v>
      </c>
      <c r="C680" s="157"/>
      <c r="D680" s="167"/>
      <c r="E680" s="32"/>
      <c r="F680" s="261">
        <f t="shared" ref="F680:K680" si="178">SUM(F678:F679)</f>
        <v>-55679195.225511841</v>
      </c>
      <c r="G680" s="172">
        <f t="shared" si="178"/>
        <v>-32644712</v>
      </c>
      <c r="H680" s="172">
        <f t="shared" si="178"/>
        <v>-2976610</v>
      </c>
      <c r="I680" s="171">
        <f t="shared" si="178"/>
        <v>-20057873</v>
      </c>
      <c r="J680" s="85">
        <f t="shared" si="178"/>
        <v>-55679195</v>
      </c>
      <c r="K680" s="85">
        <f t="shared" si="178"/>
        <v>-0.22551184147596359</v>
      </c>
      <c r="L680" s="300">
        <v>-55679195.225511841</v>
      </c>
      <c r="M680" s="308">
        <f t="shared" si="173"/>
        <v>0</v>
      </c>
    </row>
    <row r="681" spans="1:14" ht="15">
      <c r="A681" s="158">
        <v>5</v>
      </c>
      <c r="B681" s="195"/>
      <c r="C681" s="194"/>
      <c r="D681" s="193"/>
      <c r="E681" s="32"/>
      <c r="F681" s="258"/>
      <c r="G681" s="40"/>
      <c r="H681" s="40"/>
      <c r="I681" s="39"/>
      <c r="M681" s="308">
        <f t="shared" si="173"/>
        <v>0</v>
      </c>
    </row>
    <row r="682" spans="1:14">
      <c r="A682" s="158">
        <v>6</v>
      </c>
      <c r="B682" s="192" t="s">
        <v>265</v>
      </c>
      <c r="C682" s="157"/>
      <c r="D682" s="167"/>
      <c r="E682" s="32"/>
      <c r="F682" s="258"/>
      <c r="G682" s="40"/>
      <c r="H682" s="40"/>
      <c r="I682" s="39"/>
      <c r="M682" s="308">
        <f t="shared" si="173"/>
        <v>0</v>
      </c>
    </row>
    <row r="683" spans="1:14">
      <c r="A683" s="158">
        <v>7</v>
      </c>
      <c r="B683" s="181" t="s">
        <v>264</v>
      </c>
      <c r="C683" s="157"/>
      <c r="D683" s="167"/>
      <c r="E683" s="32"/>
      <c r="F683" s="258"/>
      <c r="G683" s="40"/>
      <c r="H683" s="40"/>
      <c r="I683" s="39"/>
      <c r="M683" s="308">
        <f t="shared" si="173"/>
        <v>0</v>
      </c>
    </row>
    <row r="684" spans="1:14">
      <c r="A684" s="158">
        <v>8</v>
      </c>
      <c r="B684" s="191" t="s">
        <v>263</v>
      </c>
      <c r="C684" s="169"/>
      <c r="D684" s="186" t="s">
        <v>5</v>
      </c>
      <c r="E684" s="32"/>
      <c r="F684" s="270">
        <f>[4]SCH_E1!$Q$107</f>
        <v>577601.69101511547</v>
      </c>
      <c r="G684" s="148">
        <f>F684-SUM(H684:I684)</f>
        <v>339144.69101511547</v>
      </c>
      <c r="H684" s="148">
        <f>ROUND(F684*VLOOKUP(D684,ALLOCTABLE_FUNCTIONAL,$H$10,FALSE),0)</f>
        <v>30526</v>
      </c>
      <c r="I684" s="147">
        <f>ROUND(F684*VLOOKUP(D684,ALLOCTABLE_FUNCTIONAL,$I$10,FALSE),0)</f>
        <v>207931</v>
      </c>
      <c r="J684" s="185">
        <f>SUM(G684:I684)</f>
        <v>577601.69101511547</v>
      </c>
      <c r="K684" s="185">
        <f>F684-J684</f>
        <v>0</v>
      </c>
      <c r="L684" s="320">
        <v>577601.69101511547</v>
      </c>
      <c r="M684" s="308">
        <f t="shared" si="173"/>
        <v>0</v>
      </c>
    </row>
    <row r="685" spans="1:14">
      <c r="A685" s="158">
        <v>9</v>
      </c>
      <c r="B685" s="184" t="s">
        <v>262</v>
      </c>
      <c r="C685" s="157"/>
      <c r="D685" s="167"/>
      <c r="E685" s="32"/>
      <c r="F685" s="261">
        <f t="shared" ref="F685:K685" si="179">SUM(F684)</f>
        <v>577601.69101511547</v>
      </c>
      <c r="G685" s="172">
        <f t="shared" si="179"/>
        <v>339144.69101511547</v>
      </c>
      <c r="H685" s="172">
        <f t="shared" si="179"/>
        <v>30526</v>
      </c>
      <c r="I685" s="171">
        <f t="shared" si="179"/>
        <v>207931</v>
      </c>
      <c r="J685" s="85">
        <f t="shared" si="179"/>
        <v>577601.69101511547</v>
      </c>
      <c r="K685" s="85">
        <f t="shared" si="179"/>
        <v>0</v>
      </c>
      <c r="L685" s="300">
        <v>577601.69101511547</v>
      </c>
      <c r="M685" s="308">
        <f t="shared" si="173"/>
        <v>0</v>
      </c>
    </row>
    <row r="686" spans="1:14">
      <c r="A686" s="158">
        <v>10</v>
      </c>
      <c r="B686" s="168"/>
      <c r="C686" s="157"/>
      <c r="D686" s="167"/>
      <c r="E686" s="32"/>
      <c r="F686" s="258"/>
      <c r="G686" s="40"/>
      <c r="H686" s="40"/>
      <c r="I686" s="39"/>
      <c r="M686" s="308">
        <f t="shared" si="173"/>
        <v>0</v>
      </c>
    </row>
    <row r="687" spans="1:14">
      <c r="A687" s="158">
        <v>11</v>
      </c>
      <c r="B687" s="190" t="s">
        <v>246</v>
      </c>
      <c r="C687" s="189"/>
      <c r="D687" s="188"/>
      <c r="E687" s="32"/>
      <c r="F687" s="258"/>
      <c r="G687" s="40"/>
      <c r="H687" s="40"/>
      <c r="I687" s="39"/>
      <c r="M687" s="308">
        <f t="shared" si="173"/>
        <v>0</v>
      </c>
    </row>
    <row r="688" spans="1:14">
      <c r="A688" s="158">
        <v>12</v>
      </c>
      <c r="B688" s="187" t="s">
        <v>261</v>
      </c>
      <c r="C688" s="169"/>
      <c r="D688" s="186" t="s">
        <v>2</v>
      </c>
      <c r="E688" s="32"/>
      <c r="F688" s="270">
        <f>[4]SCH_E1!$Q$77</f>
        <v>0</v>
      </c>
      <c r="G688" s="148">
        <f>ROUND(F688*VLOOKUP(D688,ALLOCTABLE_FUNCTIONAL,$G$10,FALSE),0)</f>
        <v>0</v>
      </c>
      <c r="H688" s="148">
        <f>ROUND(F688*VLOOKUP(D688,ALLOCTABLE_FUNCTIONAL,$H$10,FALSE),0)</f>
        <v>0</v>
      </c>
      <c r="I688" s="147">
        <f>ROUND(F688*VLOOKUP(D688,ALLOCTABLE_FUNCTIONAL,$I$10,FALSE),0)</f>
        <v>0</v>
      </c>
      <c r="J688" s="185">
        <f>SUM(G688:I688)</f>
        <v>0</v>
      </c>
      <c r="K688" s="185">
        <f>F688-J688</f>
        <v>0</v>
      </c>
      <c r="L688" s="320">
        <v>0</v>
      </c>
      <c r="M688" s="308">
        <f t="shared" si="173"/>
        <v>0</v>
      </c>
    </row>
    <row r="689" spans="1:16">
      <c r="A689" s="158">
        <v>13</v>
      </c>
      <c r="B689" s="184" t="s">
        <v>260</v>
      </c>
      <c r="C689" s="157"/>
      <c r="D689" s="167"/>
      <c r="E689" s="32"/>
      <c r="F689" s="261">
        <f t="shared" ref="F689:K689" si="180">SUM(F688)</f>
        <v>0</v>
      </c>
      <c r="G689" s="172">
        <f t="shared" si="180"/>
        <v>0</v>
      </c>
      <c r="H689" s="172">
        <f t="shared" si="180"/>
        <v>0</v>
      </c>
      <c r="I689" s="171">
        <f t="shared" si="180"/>
        <v>0</v>
      </c>
      <c r="J689" s="85">
        <f t="shared" si="180"/>
        <v>0</v>
      </c>
      <c r="K689" s="85">
        <f t="shared" si="180"/>
        <v>0</v>
      </c>
      <c r="L689" s="300">
        <v>0</v>
      </c>
      <c r="M689" s="308">
        <f t="shared" si="173"/>
        <v>0</v>
      </c>
    </row>
    <row r="690" spans="1:16">
      <c r="A690" s="158">
        <v>14</v>
      </c>
      <c r="B690" s="157"/>
      <c r="C690" s="157"/>
      <c r="D690" s="167"/>
      <c r="E690" s="32"/>
      <c r="F690" s="258"/>
      <c r="G690" s="40"/>
      <c r="H690" s="40"/>
      <c r="I690" s="39"/>
      <c r="M690" s="308">
        <f t="shared" si="173"/>
        <v>0</v>
      </c>
    </row>
    <row r="691" spans="1:16">
      <c r="A691" s="158">
        <v>15</v>
      </c>
      <c r="B691" s="157" t="s">
        <v>259</v>
      </c>
      <c r="C691" s="157"/>
      <c r="D691" s="167"/>
      <c r="E691" s="32"/>
      <c r="F691" s="261">
        <f t="shared" ref="F691:K691" si="181">F689+F685</f>
        <v>577601.69101511547</v>
      </c>
      <c r="G691" s="172">
        <f t="shared" si="181"/>
        <v>339144.69101511547</v>
      </c>
      <c r="H691" s="172">
        <f t="shared" si="181"/>
        <v>30526</v>
      </c>
      <c r="I691" s="171">
        <f t="shared" si="181"/>
        <v>207931</v>
      </c>
      <c r="J691" s="85">
        <f t="shared" si="181"/>
        <v>577601.69101511547</v>
      </c>
      <c r="K691" s="85">
        <f t="shared" si="181"/>
        <v>0</v>
      </c>
      <c r="L691" s="300">
        <v>577601.69101511547</v>
      </c>
      <c r="M691" s="308">
        <f t="shared" si="173"/>
        <v>0</v>
      </c>
    </row>
    <row r="692" spans="1:16">
      <c r="A692" s="158">
        <v>16</v>
      </c>
      <c r="B692" s="157"/>
      <c r="C692" s="157"/>
      <c r="D692" s="167"/>
      <c r="E692" s="32"/>
      <c r="F692" s="258"/>
      <c r="G692" s="40"/>
      <c r="H692" s="40"/>
      <c r="I692" s="39"/>
      <c r="M692" s="308">
        <f t="shared" si="173"/>
        <v>0</v>
      </c>
    </row>
    <row r="693" spans="1:16">
      <c r="A693" s="158">
        <v>17</v>
      </c>
      <c r="B693" s="183" t="s">
        <v>258</v>
      </c>
      <c r="C693" s="182"/>
      <c r="D693" s="158"/>
      <c r="E693" s="32"/>
      <c r="F693" s="258"/>
      <c r="G693" s="40"/>
      <c r="H693" s="40"/>
      <c r="I693" s="39"/>
      <c r="M693" s="308">
        <f t="shared" si="173"/>
        <v>0</v>
      </c>
    </row>
    <row r="694" spans="1:16">
      <c r="A694" s="158">
        <v>18</v>
      </c>
      <c r="B694" s="181" t="s">
        <v>257</v>
      </c>
      <c r="C694" s="157"/>
      <c r="D694" s="167"/>
      <c r="E694" s="32"/>
      <c r="F694" s="258"/>
      <c r="G694" s="40"/>
      <c r="H694" s="40"/>
      <c r="I694" s="39"/>
      <c r="M694" s="308">
        <f t="shared" si="173"/>
        <v>0</v>
      </c>
    </row>
    <row r="695" spans="1:16">
      <c r="A695" s="158">
        <v>19</v>
      </c>
      <c r="B695" s="157" t="s">
        <v>232</v>
      </c>
      <c r="C695" s="157"/>
      <c r="D695" s="167"/>
      <c r="E695" s="32"/>
      <c r="F695" s="261">
        <f t="shared" ref="F695:K695" si="182">F417</f>
        <v>49938772</v>
      </c>
      <c r="G695" s="172">
        <f t="shared" si="182"/>
        <v>32905157</v>
      </c>
      <c r="H695" s="172">
        <f t="shared" si="182"/>
        <v>2736145</v>
      </c>
      <c r="I695" s="171">
        <f t="shared" si="182"/>
        <v>14297470</v>
      </c>
      <c r="J695" s="87">
        <f t="shared" si="182"/>
        <v>49938772</v>
      </c>
      <c r="K695" s="87">
        <f t="shared" si="182"/>
        <v>0</v>
      </c>
      <c r="L695" s="300">
        <v>49938772</v>
      </c>
      <c r="M695" s="308">
        <f t="shared" si="173"/>
        <v>0</v>
      </c>
    </row>
    <row r="696" spans="1:16">
      <c r="A696" s="158">
        <v>20</v>
      </c>
      <c r="B696" s="157" t="s">
        <v>231</v>
      </c>
      <c r="C696" s="157"/>
      <c r="D696" s="167"/>
      <c r="E696" s="32"/>
      <c r="F696" s="261">
        <f t="shared" ref="F696:K696" si="183">F660</f>
        <v>9803786.1089848839</v>
      </c>
      <c r="G696" s="172">
        <f t="shared" si="183"/>
        <v>8275039</v>
      </c>
      <c r="H696" s="172">
        <f t="shared" si="183"/>
        <v>1645644</v>
      </c>
      <c r="I696" s="171">
        <f t="shared" si="183"/>
        <v>-117032</v>
      </c>
      <c r="J696" s="85">
        <f t="shared" si="183"/>
        <v>9803651</v>
      </c>
      <c r="K696" s="85">
        <f t="shared" si="183"/>
        <v>135.10898488387465</v>
      </c>
      <c r="L696" s="300">
        <v>19831268.308984883</v>
      </c>
      <c r="M696" s="300">
        <f t="shared" si="173"/>
        <v>10027482.199999999</v>
      </c>
    </row>
    <row r="697" spans="1:16">
      <c r="A697" s="158">
        <v>21</v>
      </c>
      <c r="B697" s="157" t="s">
        <v>256</v>
      </c>
      <c r="C697" s="157"/>
      <c r="D697" s="167"/>
      <c r="E697" s="32"/>
      <c r="F697" s="261">
        <f t="shared" ref="F697:K697" si="184">-F625</f>
        <v>-78065527</v>
      </c>
      <c r="G697" s="172">
        <f t="shared" si="184"/>
        <v>-51903558</v>
      </c>
      <c r="H697" s="172">
        <f t="shared" si="184"/>
        <v>-3268110</v>
      </c>
      <c r="I697" s="171">
        <f t="shared" si="184"/>
        <v>-22893859</v>
      </c>
      <c r="J697" s="85">
        <f t="shared" si="184"/>
        <v>-78065527</v>
      </c>
      <c r="K697" s="85">
        <f t="shared" si="184"/>
        <v>0</v>
      </c>
      <c r="L697" s="300">
        <v>-78065527</v>
      </c>
      <c r="M697" s="308">
        <f t="shared" si="173"/>
        <v>0</v>
      </c>
    </row>
    <row r="698" spans="1:16">
      <c r="A698" s="158">
        <v>22</v>
      </c>
      <c r="B698" s="157" t="s">
        <v>255</v>
      </c>
      <c r="C698" s="157"/>
      <c r="D698" s="167"/>
      <c r="E698" s="32"/>
      <c r="F698" s="261">
        <f t="shared" ref="F698:K698" si="185">-F680</f>
        <v>55679195.225511841</v>
      </c>
      <c r="G698" s="172">
        <f t="shared" si="185"/>
        <v>32644712</v>
      </c>
      <c r="H698" s="172">
        <f t="shared" si="185"/>
        <v>2976610</v>
      </c>
      <c r="I698" s="171">
        <f t="shared" si="185"/>
        <v>20057873</v>
      </c>
      <c r="J698" s="85">
        <f t="shared" si="185"/>
        <v>55679195</v>
      </c>
      <c r="K698" s="85">
        <f t="shared" si="185"/>
        <v>0.22551184147596359</v>
      </c>
      <c r="L698" s="300">
        <v>55679195.225511841</v>
      </c>
      <c r="M698" s="308">
        <f t="shared" si="173"/>
        <v>0</v>
      </c>
    </row>
    <row r="699" spans="1:16">
      <c r="A699" s="158">
        <v>23</v>
      </c>
      <c r="B699" s="157" t="s">
        <v>221</v>
      </c>
      <c r="C699" s="157"/>
      <c r="D699" s="167"/>
      <c r="E699" s="32"/>
      <c r="F699" s="261">
        <f t="shared" ref="F699:K699" si="186">F24</f>
        <v>0</v>
      </c>
      <c r="G699" s="172">
        <f t="shared" si="186"/>
        <v>0</v>
      </c>
      <c r="H699" s="172">
        <f t="shared" si="186"/>
        <v>0</v>
      </c>
      <c r="I699" s="171">
        <f t="shared" si="186"/>
        <v>0</v>
      </c>
      <c r="J699" s="87">
        <f t="shared" si="186"/>
        <v>0</v>
      </c>
      <c r="K699" s="87">
        <f t="shared" si="186"/>
        <v>0</v>
      </c>
      <c r="L699" s="300">
        <v>0</v>
      </c>
      <c r="M699" s="308">
        <f t="shared" si="173"/>
        <v>0</v>
      </c>
    </row>
    <row r="700" spans="1:16">
      <c r="A700" s="158">
        <v>24</v>
      </c>
      <c r="B700" s="169" t="s">
        <v>254</v>
      </c>
      <c r="C700" s="169"/>
      <c r="D700" s="167"/>
      <c r="E700" s="32"/>
      <c r="F700" s="276">
        <f t="shared" ref="F700:K700" si="187">F691</f>
        <v>577601.69101511547</v>
      </c>
      <c r="G700" s="180">
        <f t="shared" si="187"/>
        <v>339144.69101511547</v>
      </c>
      <c r="H700" s="180">
        <f t="shared" si="187"/>
        <v>30526</v>
      </c>
      <c r="I700" s="179">
        <f t="shared" si="187"/>
        <v>207931</v>
      </c>
      <c r="J700" s="178">
        <f t="shared" si="187"/>
        <v>577601.69101511547</v>
      </c>
      <c r="K700" s="178">
        <f t="shared" si="187"/>
        <v>0</v>
      </c>
      <c r="L700" s="321">
        <v>577601.69101511547</v>
      </c>
      <c r="M700" s="308">
        <f t="shared" si="173"/>
        <v>0</v>
      </c>
    </row>
    <row r="701" spans="1:16">
      <c r="A701" s="158">
        <v>25</v>
      </c>
      <c r="B701" s="168" t="s">
        <v>253</v>
      </c>
      <c r="C701" s="157"/>
      <c r="D701" s="167"/>
      <c r="E701" s="32"/>
      <c r="F701" s="261">
        <f t="shared" ref="F701:K701" si="188">SUM(F695:F700)</f>
        <v>37933828.025511846</v>
      </c>
      <c r="G701" s="172">
        <f t="shared" si="188"/>
        <v>22260494.691015117</v>
      </c>
      <c r="H701" s="172">
        <f t="shared" si="188"/>
        <v>4120815</v>
      </c>
      <c r="I701" s="171">
        <f t="shared" si="188"/>
        <v>11552383</v>
      </c>
      <c r="J701" s="85">
        <f t="shared" si="188"/>
        <v>37933692.691015117</v>
      </c>
      <c r="K701" s="85">
        <f t="shared" si="188"/>
        <v>135.33449672535062</v>
      </c>
      <c r="L701" s="300">
        <v>47961310.225511834</v>
      </c>
      <c r="M701" s="300">
        <f t="shared" si="173"/>
        <v>10027482.199999988</v>
      </c>
      <c r="N701" s="177"/>
      <c r="P701" s="85"/>
    </row>
    <row r="702" spans="1:16">
      <c r="A702" s="158">
        <v>26</v>
      </c>
      <c r="B702" s="157"/>
      <c r="C702" s="157"/>
      <c r="D702" s="167"/>
      <c r="E702" s="32"/>
      <c r="F702" s="258"/>
      <c r="G702" s="40"/>
      <c r="H702" s="40"/>
      <c r="I702" s="39"/>
      <c r="M702" s="308">
        <f t="shared" si="173"/>
        <v>0</v>
      </c>
    </row>
    <row r="703" spans="1:16">
      <c r="A703" s="158">
        <v>27</v>
      </c>
      <c r="B703" s="157" t="s">
        <v>252</v>
      </c>
      <c r="C703" s="157"/>
      <c r="D703" s="167"/>
      <c r="E703" s="32"/>
      <c r="F703" s="277">
        <f t="shared" ref="F703:K703" si="189">ROUND(SIT/(1-SIT),8)</f>
        <v>5.6470480000000003E-2</v>
      </c>
      <c r="G703" s="176">
        <f t="shared" si="189"/>
        <v>5.6470480000000003E-2</v>
      </c>
      <c r="H703" s="176">
        <f t="shared" si="189"/>
        <v>5.6470480000000003E-2</v>
      </c>
      <c r="I703" s="175">
        <f t="shared" si="189"/>
        <v>5.6470480000000003E-2</v>
      </c>
      <c r="J703" s="174">
        <f t="shared" si="189"/>
        <v>5.6470480000000003E-2</v>
      </c>
      <c r="K703" s="174">
        <f t="shared" si="189"/>
        <v>5.6470480000000003E-2</v>
      </c>
      <c r="L703" s="322">
        <v>5.6470480000000003E-2</v>
      </c>
      <c r="M703" s="308">
        <f t="shared" si="173"/>
        <v>0</v>
      </c>
      <c r="O703" s="85"/>
    </row>
    <row r="704" spans="1:16">
      <c r="A704" s="158">
        <v>28</v>
      </c>
      <c r="B704" s="157" t="s">
        <v>247</v>
      </c>
      <c r="C704" s="157"/>
      <c r="D704" s="173"/>
      <c r="E704" s="32"/>
      <c r="F704" s="278">
        <f>ROUND(F701*F703,0)</f>
        <v>2142141</v>
      </c>
      <c r="G704" s="35">
        <f>F704-SUM(H704:I704)</f>
        <v>1257068</v>
      </c>
      <c r="H704" s="172">
        <f>ROUND(H701*H703,0)</f>
        <v>232704</v>
      </c>
      <c r="I704" s="171">
        <f>ROUND(I701*I703,0)</f>
        <v>652369</v>
      </c>
      <c r="J704" s="146">
        <f>SUM(G704:I704)</f>
        <v>2142141</v>
      </c>
      <c r="K704" s="146">
        <f>F704-J704</f>
        <v>0</v>
      </c>
      <c r="L704" s="323">
        <v>2708398</v>
      </c>
      <c r="M704" s="308">
        <f t="shared" si="173"/>
        <v>566257</v>
      </c>
      <c r="O704" s="85"/>
    </row>
    <row r="705" spans="1:15">
      <c r="A705" s="158">
        <v>29</v>
      </c>
      <c r="B705" s="169" t="s">
        <v>251</v>
      </c>
      <c r="C705" s="169"/>
      <c r="D705" s="167"/>
      <c r="E705" s="170"/>
      <c r="F705" s="278">
        <f>F691</f>
        <v>577601.69101511547</v>
      </c>
      <c r="G705" s="163">
        <f>G691</f>
        <v>339144.69101511547</v>
      </c>
      <c r="H705" s="163">
        <f>H691</f>
        <v>30526</v>
      </c>
      <c r="I705" s="162">
        <f>I691</f>
        <v>207931</v>
      </c>
      <c r="J705" s="146">
        <f>SUM(G705:I705)</f>
        <v>577601.69101511547</v>
      </c>
      <c r="K705" s="146">
        <f>F705-J705</f>
        <v>0</v>
      </c>
      <c r="L705" s="323">
        <v>577601.69101511547</v>
      </c>
      <c r="M705" s="308">
        <f t="shared" si="173"/>
        <v>0</v>
      </c>
      <c r="O705" s="85"/>
    </row>
    <row r="706" spans="1:15">
      <c r="A706" s="158">
        <v>30</v>
      </c>
      <c r="B706" s="168" t="s">
        <v>250</v>
      </c>
      <c r="C706" s="157"/>
      <c r="D706" s="167"/>
      <c r="E706" s="32"/>
      <c r="F706" s="279">
        <f t="shared" ref="F706:K706" si="190">F705+F704</f>
        <v>2719742.6910151155</v>
      </c>
      <c r="G706" s="166">
        <f t="shared" si="190"/>
        <v>1596212.6910151155</v>
      </c>
      <c r="H706" s="166">
        <f t="shared" si="190"/>
        <v>263230</v>
      </c>
      <c r="I706" s="165">
        <f t="shared" si="190"/>
        <v>860300</v>
      </c>
      <c r="J706" s="164">
        <f t="shared" si="190"/>
        <v>2719742.6910151155</v>
      </c>
      <c r="K706" s="164">
        <f t="shared" si="190"/>
        <v>0</v>
      </c>
      <c r="L706" s="324">
        <v>3285999.6910151155</v>
      </c>
      <c r="M706" s="308">
        <f t="shared" si="173"/>
        <v>566257</v>
      </c>
      <c r="N706" s="1" t="s">
        <v>249</v>
      </c>
    </row>
    <row r="707" spans="1:15">
      <c r="A707" s="158">
        <v>31</v>
      </c>
      <c r="B707" s="157"/>
      <c r="C707" s="157"/>
      <c r="D707" s="167"/>
      <c r="E707" s="32"/>
      <c r="F707" s="258"/>
      <c r="G707" s="40"/>
      <c r="H707" s="40"/>
      <c r="I707" s="39"/>
      <c r="M707" s="308">
        <f t="shared" si="173"/>
        <v>0</v>
      </c>
    </row>
    <row r="708" spans="1:15">
      <c r="A708" s="158">
        <v>32</v>
      </c>
      <c r="B708" s="157" t="s">
        <v>248</v>
      </c>
      <c r="C708" s="157"/>
      <c r="D708" s="167"/>
      <c r="E708" s="32"/>
      <c r="F708" s="258"/>
      <c r="G708" s="40"/>
      <c r="H708" s="40"/>
      <c r="I708" s="39"/>
      <c r="M708" s="308">
        <f t="shared" si="173"/>
        <v>0</v>
      </c>
    </row>
    <row r="709" spans="1:15">
      <c r="A709" s="158">
        <v>33</v>
      </c>
      <c r="B709" s="157" t="s">
        <v>247</v>
      </c>
      <c r="C709" s="157"/>
      <c r="D709" s="167"/>
      <c r="E709" s="32"/>
      <c r="F709" s="278">
        <f t="shared" ref="F709:K709" si="191">F704</f>
        <v>2142141</v>
      </c>
      <c r="G709" s="163">
        <f t="shared" si="191"/>
        <v>1257068</v>
      </c>
      <c r="H709" s="163">
        <f t="shared" si="191"/>
        <v>232704</v>
      </c>
      <c r="I709" s="162">
        <f t="shared" si="191"/>
        <v>652369</v>
      </c>
      <c r="J709" s="161">
        <f t="shared" si="191"/>
        <v>2142141</v>
      </c>
      <c r="K709" s="161">
        <f t="shared" si="191"/>
        <v>0</v>
      </c>
      <c r="L709" s="323">
        <v>2708398</v>
      </c>
      <c r="M709" s="308">
        <f t="shared" si="173"/>
        <v>566257</v>
      </c>
    </row>
    <row r="710" spans="1:15">
      <c r="A710" s="158">
        <v>34</v>
      </c>
      <c r="B710" s="169" t="s">
        <v>246</v>
      </c>
      <c r="C710" s="169"/>
      <c r="D710" s="167"/>
      <c r="E710" s="32"/>
      <c r="F710" s="278">
        <f t="shared" ref="F710:K710" si="192">F689</f>
        <v>0</v>
      </c>
      <c r="G710" s="163">
        <f t="shared" si="192"/>
        <v>0</v>
      </c>
      <c r="H710" s="163">
        <f t="shared" si="192"/>
        <v>0</v>
      </c>
      <c r="I710" s="162">
        <f t="shared" si="192"/>
        <v>0</v>
      </c>
      <c r="J710" s="161">
        <f t="shared" si="192"/>
        <v>0</v>
      </c>
      <c r="K710" s="161">
        <f t="shared" si="192"/>
        <v>0</v>
      </c>
      <c r="L710" s="323">
        <v>0</v>
      </c>
      <c r="M710" s="308">
        <f t="shared" si="173"/>
        <v>0</v>
      </c>
    </row>
    <row r="711" spans="1:15">
      <c r="A711" s="158">
        <v>35</v>
      </c>
      <c r="B711" s="168" t="s">
        <v>245</v>
      </c>
      <c r="C711" s="157"/>
      <c r="D711" s="167"/>
      <c r="E711" s="32"/>
      <c r="F711" s="279">
        <f t="shared" ref="F711:K711" si="193">F709+F710</f>
        <v>2142141</v>
      </c>
      <c r="G711" s="166">
        <f t="shared" si="193"/>
        <v>1257068</v>
      </c>
      <c r="H711" s="166">
        <f t="shared" si="193"/>
        <v>232704</v>
      </c>
      <c r="I711" s="165">
        <f t="shared" si="193"/>
        <v>652369</v>
      </c>
      <c r="J711" s="164">
        <f t="shared" si="193"/>
        <v>2142141</v>
      </c>
      <c r="K711" s="164">
        <f t="shared" si="193"/>
        <v>0</v>
      </c>
      <c r="L711" s="324">
        <v>2708398</v>
      </c>
      <c r="M711" s="308">
        <f t="shared" si="173"/>
        <v>566257</v>
      </c>
    </row>
    <row r="712" spans="1:15">
      <c r="A712" s="158">
        <v>36</v>
      </c>
      <c r="B712" s="157"/>
      <c r="C712" s="157"/>
      <c r="D712" s="157"/>
      <c r="E712" s="32"/>
      <c r="F712" s="278"/>
      <c r="G712" s="163"/>
      <c r="H712" s="163"/>
      <c r="I712" s="162"/>
      <c r="J712" s="161"/>
      <c r="K712" s="161"/>
      <c r="L712" s="323"/>
      <c r="M712" s="308">
        <f t="shared" si="173"/>
        <v>0</v>
      </c>
    </row>
    <row r="713" spans="1:15">
      <c r="A713" s="158">
        <v>37</v>
      </c>
      <c r="B713" s="157" t="s">
        <v>216</v>
      </c>
      <c r="C713" s="157"/>
      <c r="D713" s="157"/>
      <c r="E713" s="32"/>
      <c r="F713" s="280">
        <f t="shared" ref="F713:K713" si="194">(SIT*(1-FIT))+((1-SIT)*(1-FIT)*RevTax)+FIT</f>
        <v>0.25222709579999997</v>
      </c>
      <c r="G713" s="160">
        <f t="shared" si="194"/>
        <v>0.25222709579999997</v>
      </c>
      <c r="H713" s="160">
        <f t="shared" si="194"/>
        <v>0.25222709579999997</v>
      </c>
      <c r="I713" s="159">
        <f t="shared" si="194"/>
        <v>0.25222709579999997</v>
      </c>
      <c r="J713" s="156">
        <f t="shared" si="194"/>
        <v>0.25222709579999997</v>
      </c>
      <c r="K713" s="156">
        <f t="shared" si="194"/>
        <v>0.25222709579999997</v>
      </c>
      <c r="L713" s="325">
        <v>0.38474381299999999</v>
      </c>
      <c r="M713" s="308">
        <f t="shared" si="173"/>
        <v>0.13251671720000002</v>
      </c>
    </row>
    <row r="714" spans="1:15">
      <c r="A714" s="158"/>
      <c r="B714" s="157"/>
      <c r="C714" s="157"/>
      <c r="D714" s="157"/>
      <c r="E714" s="32"/>
      <c r="F714" s="280"/>
      <c r="G714" s="156"/>
      <c r="H714" s="156"/>
      <c r="I714" s="156"/>
      <c r="J714" s="156"/>
      <c r="K714" s="156"/>
      <c r="L714" s="325"/>
      <c r="M714" s="308">
        <f t="shared" si="173"/>
        <v>0</v>
      </c>
    </row>
    <row r="715" spans="1:15">
      <c r="A715" s="67" t="str">
        <f>co_name</f>
        <v>DUKE ENERGY KENTUCKY, INC.</v>
      </c>
      <c r="C715" s="32"/>
      <c r="D715" s="12"/>
      <c r="E715" s="32"/>
      <c r="F715" s="255"/>
      <c r="G715" s="27"/>
      <c r="H715" s="27"/>
      <c r="I715" s="27"/>
      <c r="J715" s="27" t="str">
        <f>J1</f>
        <v>FR-16(7)(v)-1</v>
      </c>
      <c r="K715" s="27"/>
      <c r="L715" s="253"/>
      <c r="M715" s="308">
        <f t="shared" si="173"/>
        <v>0</v>
      </c>
    </row>
    <row r="716" spans="1:15">
      <c r="A716" s="67" t="str">
        <f>$A$2</f>
        <v>FUNCTIONAL ELECTRIC COST OF SERVICE</v>
      </c>
      <c r="C716" s="32"/>
      <c r="D716" s="12"/>
      <c r="E716" s="32"/>
      <c r="F716" s="255"/>
      <c r="G716" s="27"/>
      <c r="H716" s="27"/>
      <c r="I716" s="27"/>
      <c r="J716" s="27" t="str">
        <f>J2</f>
        <v>WITNESS RESPONSIBLE:</v>
      </c>
      <c r="K716" s="27"/>
      <c r="L716" s="253"/>
      <c r="M716" s="308">
        <f t="shared" ref="M716:M779" si="195">L716-F716</f>
        <v>0</v>
      </c>
    </row>
    <row r="717" spans="1:15">
      <c r="A717" s="67" t="str">
        <f>case_name</f>
        <v>CASE NO: 2017-00321</v>
      </c>
      <c r="C717" s="32"/>
      <c r="D717" s="12"/>
      <c r="E717" s="32"/>
      <c r="F717" s="255"/>
      <c r="G717" s="27"/>
      <c r="H717" s="27"/>
      <c r="I717" s="27"/>
      <c r="J717" s="27" t="str">
        <f>Witness</f>
        <v>JAMES E. ZIOLKOWSKI</v>
      </c>
      <c r="K717" s="27"/>
      <c r="L717" s="253"/>
      <c r="M717" s="308">
        <f t="shared" si="195"/>
        <v>0</v>
      </c>
    </row>
    <row r="718" spans="1:15">
      <c r="A718" s="67" t="str">
        <f>data_filing</f>
        <v>DATA: 12 MONTHS ACTUAL  &amp; 0 MONTHS ESTIMATED</v>
      </c>
      <c r="C718" s="32"/>
      <c r="D718" s="12"/>
      <c r="E718" s="32"/>
      <c r="F718" s="255"/>
      <c r="G718" s="27"/>
      <c r="H718" s="27"/>
      <c r="I718" s="27"/>
      <c r="J718" s="27" t="str">
        <f>"PAGE "&amp;Pages-4&amp;" OF "&amp;Pages</f>
        <v>PAGE 14 OF 18</v>
      </c>
      <c r="K718" s="27"/>
      <c r="L718" s="253"/>
      <c r="M718" s="308">
        <f t="shared" si="195"/>
        <v>0</v>
      </c>
    </row>
    <row r="719" spans="1:15">
      <c r="A719" s="67" t="str">
        <f>type</f>
        <v xml:space="preserve">TYPE OF FILING: "X" ORIGINAL   UPDATED    REVISED  </v>
      </c>
      <c r="C719" s="32"/>
      <c r="D719" s="12"/>
      <c r="E719" s="32"/>
      <c r="F719" s="255"/>
      <c r="G719" s="27"/>
      <c r="H719" s="27"/>
      <c r="I719" s="27"/>
      <c r="J719" s="27"/>
      <c r="K719" s="27"/>
      <c r="L719" s="253"/>
      <c r="M719" s="308">
        <f t="shared" si="195"/>
        <v>0</v>
      </c>
    </row>
    <row r="720" spans="1:15">
      <c r="B720" s="67"/>
      <c r="C720" s="32"/>
      <c r="D720" s="12"/>
      <c r="E720" s="32"/>
      <c r="F720" s="255"/>
      <c r="G720" s="27"/>
      <c r="H720" s="27"/>
      <c r="I720" s="27"/>
      <c r="J720" s="27"/>
      <c r="K720" s="27"/>
      <c r="L720" s="253"/>
      <c r="M720" s="308">
        <f t="shared" si="195"/>
        <v>0</v>
      </c>
    </row>
    <row r="721" spans="1:13">
      <c r="B721" s="67"/>
      <c r="C721" s="32"/>
      <c r="D721" s="12"/>
      <c r="E721" s="32"/>
      <c r="F721" s="255"/>
      <c r="G721" s="27"/>
      <c r="H721" s="27"/>
      <c r="I721" s="27"/>
      <c r="J721" s="27"/>
      <c r="K721" s="27"/>
      <c r="L721" s="253"/>
      <c r="M721" s="308">
        <f t="shared" si="195"/>
        <v>0</v>
      </c>
    </row>
    <row r="722" spans="1:13">
      <c r="A722" s="8" t="s">
        <v>91</v>
      </c>
      <c r="B722" s="27"/>
      <c r="C722" s="32"/>
      <c r="D722" s="12"/>
      <c r="E722" s="32"/>
      <c r="F722" s="256" t="s">
        <v>1</v>
      </c>
      <c r="G722" s="65" t="s">
        <v>90</v>
      </c>
      <c r="H722" s="65"/>
      <c r="I722" s="64"/>
      <c r="J722" s="8" t="s">
        <v>1</v>
      </c>
      <c r="K722" s="8" t="s">
        <v>89</v>
      </c>
      <c r="L722" s="284" t="s">
        <v>1</v>
      </c>
      <c r="M722" s="308" t="e">
        <f t="shared" si="195"/>
        <v>#VALUE!</v>
      </c>
    </row>
    <row r="723" spans="1:13">
      <c r="A723" s="57" t="s">
        <v>88</v>
      </c>
      <c r="B723" s="145" t="s">
        <v>234</v>
      </c>
      <c r="C723" s="62"/>
      <c r="D723" s="56" t="s">
        <v>85</v>
      </c>
      <c r="E723" s="62"/>
      <c r="F723" s="264" t="str">
        <f>$F$9</f>
        <v>ELECTRIC</v>
      </c>
      <c r="G723" s="59" t="str">
        <f t="shared" ref="G723:I724" si="196">G9</f>
        <v>PRODUCTION</v>
      </c>
      <c r="H723" s="59" t="str">
        <f t="shared" si="196"/>
        <v>TRANSMISSION</v>
      </c>
      <c r="I723" s="58" t="str">
        <f t="shared" si="196"/>
        <v>DISTRIBUTION</v>
      </c>
      <c r="J723" s="57" t="s">
        <v>84</v>
      </c>
      <c r="K723" s="57" t="s">
        <v>83</v>
      </c>
      <c r="L723" s="285" t="s">
        <v>82</v>
      </c>
      <c r="M723" s="308" t="e">
        <f t="shared" si="195"/>
        <v>#VALUE!</v>
      </c>
    </row>
    <row r="724" spans="1:13">
      <c r="C724" s="144" t="s">
        <v>244</v>
      </c>
      <c r="D724" s="12"/>
      <c r="E724" s="32"/>
      <c r="F724" s="258"/>
      <c r="G724" s="53">
        <f t="shared" si="196"/>
        <v>3</v>
      </c>
      <c r="H724" s="53">
        <f t="shared" si="196"/>
        <v>4</v>
      </c>
      <c r="I724" s="52">
        <f t="shared" si="196"/>
        <v>5</v>
      </c>
      <c r="M724" s="308">
        <f t="shared" si="195"/>
        <v>0</v>
      </c>
    </row>
    <row r="725" spans="1:13">
      <c r="A725" s="137">
        <v>1</v>
      </c>
      <c r="B725" s="1" t="s">
        <v>243</v>
      </c>
      <c r="E725" s="32"/>
      <c r="F725" s="258"/>
      <c r="G725" s="40"/>
      <c r="H725" s="40"/>
      <c r="I725" s="39"/>
      <c r="M725" s="308">
        <f t="shared" si="195"/>
        <v>0</v>
      </c>
    </row>
    <row r="726" spans="1:13">
      <c r="A726" s="137">
        <v>2</v>
      </c>
      <c r="C726" s="3" t="s">
        <v>242</v>
      </c>
      <c r="D726" s="81" t="s">
        <v>117</v>
      </c>
      <c r="E726" s="155"/>
      <c r="F726" s="281">
        <v>297504</v>
      </c>
      <c r="G726" s="35">
        <f t="shared" ref="G726:G733" si="197">ROUND(F726*VLOOKUP(D726,ALLOCTABLE_FUNCTIONAL,$G$10,FALSE),0)</f>
        <v>0</v>
      </c>
      <c r="H726" s="35">
        <f t="shared" ref="H726:H733" si="198">ROUND(F726*VLOOKUP(D726,ALLOCTABLE_FUNCTIONAL,$H$10,FALSE),0)</f>
        <v>60</v>
      </c>
      <c r="I726" s="34">
        <f t="shared" ref="I726:I733" si="199">ROUND(F726*VLOOKUP(D726,ALLOCTABLE_FUNCTIONAL,$I$10,FALSE),0)</f>
        <v>297444</v>
      </c>
      <c r="J726" s="146">
        <f t="shared" ref="J726:J733" si="200">SUM(G726:I726)</f>
        <v>297504</v>
      </c>
      <c r="K726" s="146">
        <f t="shared" ref="K726:K733" si="201">F726-J726</f>
        <v>0</v>
      </c>
      <c r="L726" s="326">
        <v>297504</v>
      </c>
      <c r="M726" s="308">
        <f t="shared" si="195"/>
        <v>0</v>
      </c>
    </row>
    <row r="727" spans="1:13">
      <c r="A727" s="137">
        <v>3</v>
      </c>
      <c r="C727" s="3" t="s">
        <v>10</v>
      </c>
      <c r="D727" s="81" t="str">
        <f>D592</f>
        <v>K902</v>
      </c>
      <c r="E727" s="155"/>
      <c r="F727" s="281"/>
      <c r="G727" s="35">
        <f t="shared" si="197"/>
        <v>0</v>
      </c>
      <c r="H727" s="35">
        <f t="shared" si="198"/>
        <v>0</v>
      </c>
      <c r="I727" s="34">
        <f t="shared" si="199"/>
        <v>0</v>
      </c>
      <c r="J727" s="146">
        <f t="shared" si="200"/>
        <v>0</v>
      </c>
      <c r="K727" s="146">
        <f t="shared" si="201"/>
        <v>0</v>
      </c>
      <c r="L727" s="326"/>
      <c r="M727" s="308">
        <f t="shared" si="195"/>
        <v>0</v>
      </c>
    </row>
    <row r="728" spans="1:13">
      <c r="A728" s="137">
        <v>4</v>
      </c>
      <c r="B728" s="3"/>
      <c r="C728" s="3" t="s">
        <v>241</v>
      </c>
      <c r="D728" s="81" t="s">
        <v>117</v>
      </c>
      <c r="E728" s="155"/>
      <c r="F728" s="281">
        <f>170004+60176</f>
        <v>230180</v>
      </c>
      <c r="G728" s="35">
        <f t="shared" si="197"/>
        <v>0</v>
      </c>
      <c r="H728" s="35">
        <f t="shared" si="198"/>
        <v>46</v>
      </c>
      <c r="I728" s="34">
        <f t="shared" si="199"/>
        <v>230134</v>
      </c>
      <c r="J728" s="146">
        <f t="shared" si="200"/>
        <v>230180</v>
      </c>
      <c r="K728" s="146">
        <f t="shared" si="201"/>
        <v>0</v>
      </c>
      <c r="L728" s="326">
        <v>230180</v>
      </c>
      <c r="M728" s="308">
        <f t="shared" si="195"/>
        <v>0</v>
      </c>
    </row>
    <row r="729" spans="1:13">
      <c r="A729" s="137">
        <v>5</v>
      </c>
      <c r="C729" s="3" t="s">
        <v>240</v>
      </c>
      <c r="D729" s="81" t="s">
        <v>117</v>
      </c>
      <c r="E729" s="155"/>
      <c r="F729" s="281">
        <v>1058004</v>
      </c>
      <c r="G729" s="35">
        <f t="shared" si="197"/>
        <v>0</v>
      </c>
      <c r="H729" s="35">
        <f t="shared" si="198"/>
        <v>212</v>
      </c>
      <c r="I729" s="34">
        <f t="shared" si="199"/>
        <v>1057792</v>
      </c>
      <c r="J729" s="146">
        <f t="shared" si="200"/>
        <v>1058004</v>
      </c>
      <c r="K729" s="146">
        <f t="shared" si="201"/>
        <v>0</v>
      </c>
      <c r="L729" s="326">
        <v>1058004</v>
      </c>
      <c r="M729" s="308">
        <f t="shared" si="195"/>
        <v>0</v>
      </c>
    </row>
    <row r="730" spans="1:13">
      <c r="A730" s="137">
        <v>6</v>
      </c>
      <c r="C730" s="3" t="s">
        <v>239</v>
      </c>
      <c r="D730" s="81" t="s">
        <v>121</v>
      </c>
      <c r="E730" s="155"/>
      <c r="F730" s="281">
        <v>144996</v>
      </c>
      <c r="G730" s="35">
        <f t="shared" si="197"/>
        <v>0</v>
      </c>
      <c r="H730" s="35">
        <f t="shared" si="198"/>
        <v>144996</v>
      </c>
      <c r="I730" s="34">
        <f t="shared" si="199"/>
        <v>0</v>
      </c>
      <c r="J730" s="146">
        <f t="shared" si="200"/>
        <v>144996</v>
      </c>
      <c r="K730" s="146">
        <f t="shared" si="201"/>
        <v>0</v>
      </c>
      <c r="L730" s="326">
        <v>144996</v>
      </c>
      <c r="M730" s="308">
        <f t="shared" si="195"/>
        <v>0</v>
      </c>
    </row>
    <row r="731" spans="1:13">
      <c r="A731" s="137">
        <v>7</v>
      </c>
      <c r="C731" s="3" t="s">
        <v>238</v>
      </c>
      <c r="D731" s="81" t="s">
        <v>167</v>
      </c>
      <c r="E731" s="155"/>
      <c r="F731" s="281">
        <v>0</v>
      </c>
      <c r="G731" s="35">
        <f t="shared" si="197"/>
        <v>0</v>
      </c>
      <c r="H731" s="35">
        <f t="shared" si="198"/>
        <v>0</v>
      </c>
      <c r="I731" s="34">
        <f t="shared" si="199"/>
        <v>0</v>
      </c>
      <c r="J731" s="146">
        <f t="shared" si="200"/>
        <v>0</v>
      </c>
      <c r="K731" s="146">
        <f t="shared" si="201"/>
        <v>0</v>
      </c>
      <c r="L731" s="326">
        <v>0</v>
      </c>
      <c r="M731" s="308">
        <f t="shared" si="195"/>
        <v>0</v>
      </c>
    </row>
    <row r="732" spans="1:13">
      <c r="A732" s="137">
        <v>8</v>
      </c>
      <c r="C732" s="3" t="s">
        <v>237</v>
      </c>
      <c r="D732" s="81" t="s">
        <v>121</v>
      </c>
      <c r="E732" s="155"/>
      <c r="F732" s="281">
        <v>2789980</v>
      </c>
      <c r="G732" s="35">
        <f t="shared" si="197"/>
        <v>0</v>
      </c>
      <c r="H732" s="35">
        <f t="shared" si="198"/>
        <v>2789980</v>
      </c>
      <c r="I732" s="34">
        <f t="shared" si="199"/>
        <v>0</v>
      </c>
      <c r="J732" s="146">
        <f t="shared" si="200"/>
        <v>2789980</v>
      </c>
      <c r="K732" s="146">
        <f t="shared" si="201"/>
        <v>0</v>
      </c>
      <c r="L732" s="326">
        <v>2789980</v>
      </c>
      <c r="M732" s="308">
        <f t="shared" si="195"/>
        <v>0</v>
      </c>
    </row>
    <row r="733" spans="1:13">
      <c r="A733" s="137">
        <v>9</v>
      </c>
      <c r="C733" s="154" t="s">
        <v>236</v>
      </c>
      <c r="D733" s="81" t="str">
        <f>D592</f>
        <v>K902</v>
      </c>
      <c r="E733" s="155"/>
      <c r="F733" s="281">
        <v>24504</v>
      </c>
      <c r="G733" s="35">
        <f t="shared" si="197"/>
        <v>14388</v>
      </c>
      <c r="H733" s="35">
        <f t="shared" si="198"/>
        <v>1295</v>
      </c>
      <c r="I733" s="34">
        <f t="shared" si="199"/>
        <v>8821</v>
      </c>
      <c r="J733" s="146">
        <f t="shared" si="200"/>
        <v>24504</v>
      </c>
      <c r="K733" s="146">
        <f t="shared" si="201"/>
        <v>0</v>
      </c>
      <c r="L733" s="326">
        <v>24504</v>
      </c>
      <c r="M733" s="308">
        <f t="shared" si="195"/>
        <v>0</v>
      </c>
    </row>
    <row r="734" spans="1:13">
      <c r="A734" s="137">
        <v>10</v>
      </c>
      <c r="C734" s="3" t="s">
        <v>235</v>
      </c>
      <c r="D734" s="12"/>
      <c r="E734" s="32"/>
      <c r="F734" s="260">
        <f t="shared" ref="F734:K734" si="202">SUM(F726:F733)</f>
        <v>4545168</v>
      </c>
      <c r="G734" s="151">
        <f t="shared" si="202"/>
        <v>14388</v>
      </c>
      <c r="H734" s="151">
        <f t="shared" si="202"/>
        <v>2936589</v>
      </c>
      <c r="I734" s="150">
        <f t="shared" si="202"/>
        <v>1594191</v>
      </c>
      <c r="J734" s="5">
        <f t="shared" si="202"/>
        <v>4545168</v>
      </c>
      <c r="K734" s="5">
        <f t="shared" si="202"/>
        <v>0</v>
      </c>
      <c r="L734" s="307">
        <v>4545168</v>
      </c>
      <c r="M734" s="308">
        <f t="shared" si="195"/>
        <v>0</v>
      </c>
    </row>
    <row r="735" spans="1:13">
      <c r="A735" s="137">
        <v>11</v>
      </c>
      <c r="D735" s="12"/>
      <c r="E735" s="32"/>
      <c r="F735" s="258"/>
      <c r="G735" s="40"/>
      <c r="H735" s="40"/>
      <c r="I735" s="39"/>
      <c r="M735" s="308">
        <f t="shared" si="195"/>
        <v>0</v>
      </c>
    </row>
    <row r="736" spans="1:13">
      <c r="A736" s="137">
        <v>12</v>
      </c>
      <c r="B736" s="1" t="s">
        <v>234</v>
      </c>
      <c r="D736" s="12"/>
      <c r="E736" s="32"/>
      <c r="F736" s="258"/>
      <c r="G736" s="40"/>
      <c r="H736" s="40"/>
      <c r="I736" s="39"/>
      <c r="M736" s="308">
        <f t="shared" si="195"/>
        <v>0</v>
      </c>
    </row>
    <row r="737" spans="1:13">
      <c r="A737" s="137">
        <v>13</v>
      </c>
      <c r="C737" s="3" t="s">
        <v>233</v>
      </c>
      <c r="D737" s="12"/>
      <c r="E737" s="32"/>
      <c r="F737" s="259">
        <f>F602</f>
        <v>284448128</v>
      </c>
      <c r="G737" s="35">
        <f>G602</f>
        <v>211743882</v>
      </c>
      <c r="H737" s="35">
        <f>H602</f>
        <v>25654511</v>
      </c>
      <c r="I737" s="34">
        <f>I602</f>
        <v>47049735</v>
      </c>
      <c r="J737" s="146">
        <f>SUM(G737:I737)</f>
        <v>284448128</v>
      </c>
      <c r="K737" s="146">
        <f>F737-J737</f>
        <v>0</v>
      </c>
      <c r="L737" s="298">
        <v>284448128</v>
      </c>
      <c r="M737" s="308">
        <f t="shared" si="195"/>
        <v>0</v>
      </c>
    </row>
    <row r="738" spans="1:13">
      <c r="A738" s="137">
        <v>14</v>
      </c>
      <c r="C738" s="3" t="s">
        <v>232</v>
      </c>
      <c r="D738" s="12"/>
      <c r="E738" s="32"/>
      <c r="F738" s="259">
        <f>F417</f>
        <v>49938772</v>
      </c>
      <c r="G738" s="35">
        <f>G417</f>
        <v>32905157</v>
      </c>
      <c r="H738" s="35">
        <f>H417</f>
        <v>2736145</v>
      </c>
      <c r="I738" s="34">
        <f>I417</f>
        <v>14297470</v>
      </c>
      <c r="J738" s="146">
        <f>SUM(G738:I738)</f>
        <v>49938772</v>
      </c>
      <c r="K738" s="146">
        <f>F738-J738</f>
        <v>0</v>
      </c>
      <c r="L738" s="298">
        <v>49938772</v>
      </c>
      <c r="M738" s="308">
        <f t="shared" si="195"/>
        <v>0</v>
      </c>
    </row>
    <row r="739" spans="1:13">
      <c r="A739" s="137">
        <v>15</v>
      </c>
      <c r="C739" s="3" t="s">
        <v>231</v>
      </c>
      <c r="D739" s="12"/>
      <c r="E739" s="32"/>
      <c r="F739" s="259">
        <f>F660</f>
        <v>9803786.1089848839</v>
      </c>
      <c r="G739" s="35">
        <f>G660</f>
        <v>8275039</v>
      </c>
      <c r="H739" s="35">
        <f>H660</f>
        <v>1645644</v>
      </c>
      <c r="I739" s="34">
        <f>I660</f>
        <v>-117032</v>
      </c>
      <c r="J739" s="146">
        <f>SUM(G739:I739)</f>
        <v>9803651</v>
      </c>
      <c r="K739" s="146">
        <f>F739-J739</f>
        <v>135.10898488387465</v>
      </c>
      <c r="L739" s="298">
        <v>19831268.308984883</v>
      </c>
      <c r="M739" s="300">
        <f t="shared" si="195"/>
        <v>10027482.199999999</v>
      </c>
    </row>
    <row r="740" spans="1:13">
      <c r="A740" s="137">
        <v>16</v>
      </c>
      <c r="C740" s="3" t="s">
        <v>230</v>
      </c>
      <c r="D740" s="12"/>
      <c r="E740" s="32"/>
      <c r="F740" s="259">
        <f>F706</f>
        <v>2719742.6910151155</v>
      </c>
      <c r="G740" s="35">
        <f>G706</f>
        <v>1596212.6910151155</v>
      </c>
      <c r="H740" s="35">
        <f>H706</f>
        <v>263230</v>
      </c>
      <c r="I740" s="34">
        <f>I706</f>
        <v>860300</v>
      </c>
      <c r="J740" s="146">
        <f>SUM(G740:I740)</f>
        <v>2719742.6910151155</v>
      </c>
      <c r="K740" s="146">
        <f>F740-J740</f>
        <v>0</v>
      </c>
      <c r="L740" s="298">
        <v>3285999.6910151155</v>
      </c>
      <c r="M740" s="308">
        <f t="shared" si="195"/>
        <v>566257</v>
      </c>
    </row>
    <row r="741" spans="1:13">
      <c r="A741" s="137">
        <v>17</v>
      </c>
      <c r="C741" s="154" t="s">
        <v>228</v>
      </c>
      <c r="D741" s="12"/>
      <c r="E741" s="32"/>
      <c r="F741" s="259">
        <f>-F734</f>
        <v>-4545168</v>
      </c>
      <c r="G741" s="35">
        <f>-G734</f>
        <v>-14388</v>
      </c>
      <c r="H741" s="35">
        <f>-H734</f>
        <v>-2936589</v>
      </c>
      <c r="I741" s="34">
        <f>-I734</f>
        <v>-1594191</v>
      </c>
      <c r="J741" s="146">
        <f>SUM(G741:I741)</f>
        <v>-4545168</v>
      </c>
      <c r="K741" s="146">
        <f>F741-J741</f>
        <v>0</v>
      </c>
      <c r="L741" s="298">
        <v>-4545168</v>
      </c>
      <c r="M741" s="308">
        <f t="shared" si="195"/>
        <v>0</v>
      </c>
    </row>
    <row r="742" spans="1:13">
      <c r="A742" s="137">
        <v>18</v>
      </c>
      <c r="C742" s="3" t="s">
        <v>229</v>
      </c>
      <c r="D742" s="12"/>
      <c r="E742" s="32"/>
      <c r="F742" s="260">
        <f>SUM(F736:F741)</f>
        <v>342365260.80000001</v>
      </c>
      <c r="G742" s="151">
        <f>SUM(G736:G741)</f>
        <v>254505902.69101512</v>
      </c>
      <c r="H742" s="151">
        <f>SUM(H736:H741)</f>
        <v>27362941</v>
      </c>
      <c r="I742" s="150">
        <f>SUM(I736:I741)</f>
        <v>60496282</v>
      </c>
      <c r="J742" s="5">
        <f>SUM(J736:J741)</f>
        <v>342365125.69101512</v>
      </c>
      <c r="K742" s="5">
        <f>J742-F742</f>
        <v>-135.10898488759995</v>
      </c>
      <c r="L742" s="307">
        <v>352959000</v>
      </c>
      <c r="M742" s="300">
        <f t="shared" si="195"/>
        <v>10593739.199999988</v>
      </c>
    </row>
    <row r="743" spans="1:13">
      <c r="A743" s="137">
        <v>19</v>
      </c>
      <c r="D743" s="12"/>
      <c r="E743" s="32"/>
      <c r="F743" s="258"/>
      <c r="G743" s="40"/>
      <c r="H743" s="40"/>
      <c r="I743" s="39"/>
      <c r="M743" s="308">
        <f t="shared" si="195"/>
        <v>0</v>
      </c>
    </row>
    <row r="744" spans="1:13">
      <c r="A744" s="137">
        <v>20</v>
      </c>
      <c r="C744" s="3" t="s">
        <v>228</v>
      </c>
      <c r="D744" s="12"/>
      <c r="E744" s="32"/>
      <c r="F744" s="259">
        <f t="shared" ref="F744:K744" si="203">-F741</f>
        <v>4545168</v>
      </c>
      <c r="G744" s="35">
        <f t="shared" si="203"/>
        <v>14388</v>
      </c>
      <c r="H744" s="35">
        <f t="shared" si="203"/>
        <v>2936589</v>
      </c>
      <c r="I744" s="34">
        <f t="shared" si="203"/>
        <v>1594191</v>
      </c>
      <c r="J744" s="146">
        <f t="shared" si="203"/>
        <v>4545168</v>
      </c>
      <c r="K744" s="146">
        <f t="shared" si="203"/>
        <v>0</v>
      </c>
      <c r="L744" s="298">
        <v>4545168</v>
      </c>
      <c r="M744" s="308">
        <f t="shared" si="195"/>
        <v>0</v>
      </c>
    </row>
    <row r="745" spans="1:13">
      <c r="A745" s="137">
        <v>21</v>
      </c>
      <c r="C745" s="154" t="s">
        <v>227</v>
      </c>
      <c r="D745" s="12"/>
      <c r="E745" s="32"/>
      <c r="F745" s="259">
        <f>'[2]FR-16(7)(v)-4 PROD Energy'!F973</f>
        <v>0</v>
      </c>
      <c r="G745" s="35">
        <f>G973</f>
        <v>0</v>
      </c>
      <c r="H745" s="148">
        <f>H973</f>
        <v>0</v>
      </c>
      <c r="I745" s="147">
        <f>I973</f>
        <v>0</v>
      </c>
      <c r="J745" s="146">
        <f>SUM(G745:I745)</f>
        <v>0</v>
      </c>
      <c r="K745" s="146">
        <f>F745-J745</f>
        <v>0</v>
      </c>
      <c r="L745" s="298">
        <v>0</v>
      </c>
      <c r="M745" s="308">
        <f t="shared" si="195"/>
        <v>0</v>
      </c>
    </row>
    <row r="746" spans="1:13">
      <c r="A746" s="137">
        <v>22</v>
      </c>
      <c r="C746" s="3" t="s">
        <v>226</v>
      </c>
      <c r="D746" s="12"/>
      <c r="E746" s="32"/>
      <c r="F746" s="260">
        <f t="shared" ref="F746:K746" si="204">F744-F745</f>
        <v>4545168</v>
      </c>
      <c r="G746" s="151">
        <f t="shared" si="204"/>
        <v>14388</v>
      </c>
      <c r="H746" s="151">
        <f t="shared" si="204"/>
        <v>2936589</v>
      </c>
      <c r="I746" s="150">
        <f t="shared" si="204"/>
        <v>1594191</v>
      </c>
      <c r="J746" s="5">
        <f t="shared" si="204"/>
        <v>4545168</v>
      </c>
      <c r="K746" s="5">
        <f t="shared" si="204"/>
        <v>0</v>
      </c>
      <c r="L746" s="307">
        <v>4545168</v>
      </c>
      <c r="M746" s="308">
        <f t="shared" si="195"/>
        <v>0</v>
      </c>
    </row>
    <row r="747" spans="1:13">
      <c r="A747" s="137">
        <v>23</v>
      </c>
      <c r="D747" s="12"/>
      <c r="E747" s="32"/>
      <c r="F747" s="258"/>
      <c r="G747" s="40"/>
      <c r="H747" s="40"/>
      <c r="I747" s="39"/>
      <c r="M747" s="308">
        <f t="shared" si="195"/>
        <v>0</v>
      </c>
    </row>
    <row r="748" spans="1:13">
      <c r="A748" s="137">
        <v>24</v>
      </c>
      <c r="C748" s="3" t="s">
        <v>225</v>
      </c>
      <c r="D748" s="12"/>
      <c r="E748" s="32"/>
      <c r="F748" s="271">
        <f t="shared" ref="F748:K748" si="205">ROUND(F801/(1-F801),8)</f>
        <v>0</v>
      </c>
      <c r="G748" s="29">
        <f t="shared" si="205"/>
        <v>0</v>
      </c>
      <c r="H748" s="29">
        <f t="shared" si="205"/>
        <v>0</v>
      </c>
      <c r="I748" s="28">
        <f t="shared" si="205"/>
        <v>0</v>
      </c>
      <c r="J748" s="149">
        <f t="shared" si="205"/>
        <v>0</v>
      </c>
      <c r="K748" s="149">
        <f t="shared" si="205"/>
        <v>0</v>
      </c>
      <c r="L748" s="299">
        <v>0</v>
      </c>
      <c r="M748" s="308">
        <f t="shared" si="195"/>
        <v>0</v>
      </c>
    </row>
    <row r="749" spans="1:13">
      <c r="A749" s="137">
        <v>25</v>
      </c>
      <c r="C749" s="3" t="s">
        <v>224</v>
      </c>
      <c r="D749" s="12"/>
      <c r="E749" s="32"/>
      <c r="F749" s="259">
        <f>ROUND(F748*F746,0)</f>
        <v>0</v>
      </c>
      <c r="G749" s="35">
        <f>ROUND(G748*G746,0)</f>
        <v>0</v>
      </c>
      <c r="H749" s="35">
        <f>ROUND(H748*H746,0)</f>
        <v>0</v>
      </c>
      <c r="I749" s="34">
        <f>ROUND(I748*I746,0)</f>
        <v>0</v>
      </c>
      <c r="J749" s="146">
        <f>SUM(G749:I749)</f>
        <v>0</v>
      </c>
      <c r="K749" s="146">
        <f>ROUND(K748*K746,0)</f>
        <v>0</v>
      </c>
      <c r="L749" s="298">
        <v>0</v>
      </c>
      <c r="M749" s="308">
        <f t="shared" si="195"/>
        <v>0</v>
      </c>
    </row>
    <row r="750" spans="1:13">
      <c r="A750" s="137">
        <v>26</v>
      </c>
      <c r="C750" s="3" t="s">
        <v>223</v>
      </c>
      <c r="D750" s="12"/>
      <c r="E750" s="32"/>
      <c r="F750" s="259">
        <f>ROUND(F748*F742,0)</f>
        <v>0</v>
      </c>
      <c r="G750" s="35">
        <f>ROUND(G748*G742,0)</f>
        <v>0</v>
      </c>
      <c r="H750" s="35">
        <f>ROUND(H748*H742,0)</f>
        <v>0</v>
      </c>
      <c r="I750" s="34">
        <f>ROUND(I748*I742,0)</f>
        <v>0</v>
      </c>
      <c r="J750" s="153">
        <f>SUM(G750:I750)</f>
        <v>0</v>
      </c>
      <c r="K750" s="153">
        <f>ROUND(K748*K742,0)</f>
        <v>0</v>
      </c>
      <c r="L750" s="327">
        <v>0</v>
      </c>
      <c r="M750" s="308">
        <f t="shared" si="195"/>
        <v>0</v>
      </c>
    </row>
    <row r="751" spans="1:13">
      <c r="A751" s="137">
        <v>27</v>
      </c>
      <c r="C751" s="152" t="s">
        <v>222</v>
      </c>
      <c r="D751" s="12"/>
      <c r="E751" s="32"/>
      <c r="F751" s="260">
        <f t="shared" ref="F751:K751" si="206">F750+F749</f>
        <v>0</v>
      </c>
      <c r="G751" s="151">
        <f t="shared" si="206"/>
        <v>0</v>
      </c>
      <c r="H751" s="151">
        <f t="shared" si="206"/>
        <v>0</v>
      </c>
      <c r="I751" s="150">
        <f t="shared" si="206"/>
        <v>0</v>
      </c>
      <c r="J751" s="5">
        <f t="shared" si="206"/>
        <v>0</v>
      </c>
      <c r="K751" s="5">
        <f t="shared" si="206"/>
        <v>0</v>
      </c>
      <c r="L751" s="307">
        <v>0</v>
      </c>
      <c r="M751" s="308">
        <f t="shared" si="195"/>
        <v>0</v>
      </c>
    </row>
    <row r="752" spans="1:13">
      <c r="A752" s="137">
        <v>28</v>
      </c>
      <c r="C752" s="38"/>
      <c r="D752" s="12"/>
      <c r="E752" s="32"/>
      <c r="F752" s="274"/>
      <c r="G752" s="76"/>
      <c r="H752" s="76"/>
      <c r="I752" s="75"/>
      <c r="J752" s="74"/>
      <c r="K752" s="74"/>
      <c r="L752" s="295"/>
      <c r="M752" s="308">
        <f t="shared" si="195"/>
        <v>0</v>
      </c>
    </row>
    <row r="753" spans="1:14">
      <c r="A753" s="137">
        <v>29</v>
      </c>
      <c r="C753" s="38" t="s">
        <v>221</v>
      </c>
      <c r="D753" s="12"/>
      <c r="E753" s="32"/>
      <c r="F753" s="274">
        <f t="shared" ref="F753:K753" si="207">F24</f>
        <v>0</v>
      </c>
      <c r="G753" s="35">
        <f t="shared" si="207"/>
        <v>0</v>
      </c>
      <c r="H753" s="35">
        <f t="shared" si="207"/>
        <v>0</v>
      </c>
      <c r="I753" s="34">
        <f t="shared" si="207"/>
        <v>0</v>
      </c>
      <c r="J753" s="74">
        <f t="shared" si="207"/>
        <v>0</v>
      </c>
      <c r="K753" s="74">
        <f t="shared" si="207"/>
        <v>0</v>
      </c>
      <c r="L753" s="295">
        <v>0</v>
      </c>
      <c r="M753" s="308">
        <f t="shared" si="195"/>
        <v>0</v>
      </c>
    </row>
    <row r="754" spans="1:14">
      <c r="A754" s="137">
        <v>30</v>
      </c>
      <c r="C754" s="152" t="s">
        <v>220</v>
      </c>
      <c r="D754" s="12"/>
      <c r="E754" s="32"/>
      <c r="F754" s="260">
        <f t="shared" ref="F754:K754" si="208">F753+F751+F742</f>
        <v>342365260.80000001</v>
      </c>
      <c r="G754" s="151">
        <f t="shared" si="208"/>
        <v>254505902.69101512</v>
      </c>
      <c r="H754" s="151">
        <f t="shared" si="208"/>
        <v>27362941</v>
      </c>
      <c r="I754" s="150">
        <f t="shared" si="208"/>
        <v>60496282</v>
      </c>
      <c r="J754" s="5">
        <f t="shared" si="208"/>
        <v>342365125.69101512</v>
      </c>
      <c r="K754" s="5">
        <f t="shared" si="208"/>
        <v>-135.10898488759995</v>
      </c>
      <c r="L754" s="307">
        <v>352959000</v>
      </c>
      <c r="M754" s="300">
        <f t="shared" si="195"/>
        <v>10593739.199999988</v>
      </c>
      <c r="N754" s="1" t="s">
        <v>219</v>
      </c>
    </row>
    <row r="755" spans="1:14">
      <c r="A755" s="137">
        <v>31</v>
      </c>
      <c r="D755" s="12"/>
      <c r="E755" s="32"/>
      <c r="F755" s="258"/>
      <c r="G755" s="40"/>
      <c r="H755" s="40"/>
      <c r="I755" s="39"/>
      <c r="M755" s="308">
        <f t="shared" si="195"/>
        <v>0</v>
      </c>
    </row>
    <row r="756" spans="1:14">
      <c r="A756" s="137">
        <v>32</v>
      </c>
      <c r="B756" s="1" t="s">
        <v>150</v>
      </c>
      <c r="D756" s="12"/>
      <c r="E756" s="32"/>
      <c r="F756" s="259">
        <f>F852</f>
        <v>304312778</v>
      </c>
      <c r="G756" s="35">
        <f>G852</f>
        <v>178680291</v>
      </c>
      <c r="H756" s="35">
        <f>H852</f>
        <v>16082930</v>
      </c>
      <c r="I756" s="34">
        <f>I852</f>
        <v>109549557</v>
      </c>
      <c r="J756" s="146">
        <f>SUM(G756:I756)</f>
        <v>304312778</v>
      </c>
      <c r="K756" s="146">
        <f>F756-J756</f>
        <v>0</v>
      </c>
      <c r="L756" s="298">
        <v>304312778</v>
      </c>
      <c r="M756" s="308">
        <f t="shared" si="195"/>
        <v>0</v>
      </c>
    </row>
    <row r="757" spans="1:14">
      <c r="A757" s="137">
        <v>33</v>
      </c>
      <c r="B757" s="1" t="s">
        <v>218</v>
      </c>
      <c r="D757" s="12"/>
      <c r="E757" s="32"/>
      <c r="F757" s="259">
        <f>-F754</f>
        <v>-342365260.80000001</v>
      </c>
      <c r="G757" s="35">
        <f>-G754</f>
        <v>-254505902.69101512</v>
      </c>
      <c r="H757" s="35">
        <f>-H754</f>
        <v>-27362941</v>
      </c>
      <c r="I757" s="34">
        <f>-I754</f>
        <v>-60496282</v>
      </c>
      <c r="J757" s="146">
        <f>SUM(G757:I757)</f>
        <v>-342365125.69101512</v>
      </c>
      <c r="K757" s="146">
        <f>F757-J757</f>
        <v>-135.10898488759995</v>
      </c>
      <c r="L757" s="298">
        <v>-352959000</v>
      </c>
      <c r="M757" s="300">
        <f t="shared" si="195"/>
        <v>-10593739.199999988</v>
      </c>
    </row>
    <row r="758" spans="1:14">
      <c r="A758" s="137">
        <v>34</v>
      </c>
      <c r="B758" s="1" t="s">
        <v>217</v>
      </c>
      <c r="D758" s="12"/>
      <c r="E758" s="32"/>
      <c r="F758" s="259">
        <f>F757+F756</f>
        <v>-38052482.800000012</v>
      </c>
      <c r="G758" s="35">
        <f>G757+G756</f>
        <v>-75825611.691015124</v>
      </c>
      <c r="H758" s="35">
        <f>H757+H756</f>
        <v>-11280011</v>
      </c>
      <c r="I758" s="34">
        <f>I757+I756</f>
        <v>49053275</v>
      </c>
      <c r="J758" s="146">
        <f>SUM(G758:I758)</f>
        <v>-38052347.691015124</v>
      </c>
      <c r="K758" s="146">
        <f>F758-J758</f>
        <v>-135.10898488759995</v>
      </c>
      <c r="L758" s="298">
        <v>-48646222</v>
      </c>
      <c r="M758" s="300">
        <f t="shared" si="195"/>
        <v>-10593739.199999988</v>
      </c>
    </row>
    <row r="759" spans="1:14">
      <c r="A759" s="137">
        <v>35</v>
      </c>
      <c r="B759" s="1" t="s">
        <v>216</v>
      </c>
      <c r="D759" s="12"/>
      <c r="E759" s="32"/>
      <c r="F759" s="271">
        <f t="shared" ref="F759:K759" si="209">F713</f>
        <v>0.25222709579999997</v>
      </c>
      <c r="G759" s="29">
        <f t="shared" si="209"/>
        <v>0.25222709579999997</v>
      </c>
      <c r="H759" s="29">
        <f t="shared" si="209"/>
        <v>0.25222709579999997</v>
      </c>
      <c r="I759" s="28">
        <f t="shared" si="209"/>
        <v>0.25222709579999997</v>
      </c>
      <c r="J759" s="149">
        <f t="shared" si="209"/>
        <v>0.25222709579999997</v>
      </c>
      <c r="K759" s="149">
        <f t="shared" si="209"/>
        <v>0.25222709579999997</v>
      </c>
      <c r="L759" s="299">
        <v>0.38474381299999999</v>
      </c>
      <c r="M759" s="308">
        <f t="shared" si="195"/>
        <v>0.13251671720000002</v>
      </c>
    </row>
    <row r="760" spans="1:14">
      <c r="A760" s="137">
        <v>36</v>
      </c>
      <c r="B760" s="1" t="s">
        <v>215</v>
      </c>
      <c r="D760" s="12"/>
      <c r="E760" s="32"/>
      <c r="F760" s="259">
        <f>ROUND(F759*F758,0)</f>
        <v>-9597867</v>
      </c>
      <c r="G760" s="35">
        <f>F760-H760-I760</f>
        <v>-19125308</v>
      </c>
      <c r="H760" s="35">
        <f>ROUND(H759*H758,0)</f>
        <v>-2845124</v>
      </c>
      <c r="I760" s="34">
        <f>ROUND(I759*I758,0)</f>
        <v>12372565</v>
      </c>
      <c r="J760" s="146">
        <f>SUM(G760:I760)</f>
        <v>-9597867</v>
      </c>
      <c r="K760" s="146">
        <f>F760-J760</f>
        <v>0</v>
      </c>
      <c r="L760" s="298">
        <v>-18716333</v>
      </c>
      <c r="M760" s="308">
        <f t="shared" si="195"/>
        <v>-9118466</v>
      </c>
    </row>
    <row r="761" spans="1:14" ht="13.8" thickBot="1">
      <c r="A761" s="137">
        <v>37</v>
      </c>
      <c r="B761" s="1" t="s">
        <v>214</v>
      </c>
      <c r="D761" s="12"/>
      <c r="E761" s="32"/>
      <c r="F761" s="282">
        <f>F758-F760</f>
        <v>-28454615.800000012</v>
      </c>
      <c r="G761" s="148">
        <f>G758-G760</f>
        <v>-56700303.691015124</v>
      </c>
      <c r="H761" s="148">
        <f>H758-H760</f>
        <v>-8434887</v>
      </c>
      <c r="I761" s="147">
        <f>I758-I760</f>
        <v>36680710</v>
      </c>
      <c r="J761" s="146">
        <f>SUM(G761:I761)</f>
        <v>-28454480.691015124</v>
      </c>
      <c r="K761" s="146">
        <f>F761-J761</f>
        <v>-135.10898488759995</v>
      </c>
      <c r="L761" s="298">
        <v>-29929889</v>
      </c>
      <c r="M761" s="308">
        <f t="shared" si="195"/>
        <v>-1475273.1999999881</v>
      </c>
    </row>
    <row r="762" spans="1:14">
      <c r="A762" s="38"/>
      <c r="B762" s="71"/>
      <c r="C762" s="71"/>
      <c r="D762" s="70"/>
      <c r="E762" s="71"/>
      <c r="F762" s="283"/>
      <c r="G762" s="38"/>
      <c r="H762" s="38"/>
      <c r="I762" s="38"/>
      <c r="J762" s="38"/>
      <c r="K762" s="38"/>
      <c r="L762" s="283"/>
      <c r="M762" s="308">
        <f t="shared" si="195"/>
        <v>0</v>
      </c>
    </row>
    <row r="763" spans="1:14">
      <c r="A763" s="67" t="str">
        <f>co_name</f>
        <v>DUKE ENERGY KENTUCKY, INC.</v>
      </c>
      <c r="C763" s="32"/>
      <c r="D763" s="12"/>
      <c r="E763" s="32"/>
      <c r="F763" s="253"/>
      <c r="G763" s="27"/>
      <c r="H763" s="27"/>
      <c r="I763" s="27"/>
      <c r="J763" s="27" t="str">
        <f>J1</f>
        <v>FR-16(7)(v)-1</v>
      </c>
      <c r="K763" s="27"/>
      <c r="L763" s="253"/>
      <c r="M763" s="308">
        <f t="shared" si="195"/>
        <v>0</v>
      </c>
    </row>
    <row r="764" spans="1:14">
      <c r="A764" s="67" t="str">
        <f>$A$2</f>
        <v>FUNCTIONAL ELECTRIC COST OF SERVICE</v>
      </c>
      <c r="C764" s="32"/>
      <c r="D764" s="12"/>
      <c r="E764" s="32"/>
      <c r="F764" s="253"/>
      <c r="G764" s="27"/>
      <c r="H764" s="27"/>
      <c r="I764" s="27"/>
      <c r="J764" s="27" t="str">
        <f>J2</f>
        <v>WITNESS RESPONSIBLE:</v>
      </c>
      <c r="K764" s="27"/>
      <c r="L764" s="253"/>
      <c r="M764" s="308">
        <f t="shared" si="195"/>
        <v>0</v>
      </c>
    </row>
    <row r="765" spans="1:14">
      <c r="A765" s="67" t="str">
        <f>case_name</f>
        <v>CASE NO: 2017-00321</v>
      </c>
      <c r="C765" s="32"/>
      <c r="D765" s="12"/>
      <c r="E765" s="32"/>
      <c r="F765" s="253"/>
      <c r="G765" s="27"/>
      <c r="H765" s="27"/>
      <c r="I765" s="27"/>
      <c r="J765" s="27" t="str">
        <f>Witness</f>
        <v>JAMES E. ZIOLKOWSKI</v>
      </c>
      <c r="K765" s="27"/>
      <c r="L765" s="253"/>
      <c r="M765" s="308">
        <f t="shared" si="195"/>
        <v>0</v>
      </c>
    </row>
    <row r="766" spans="1:14">
      <c r="A766" s="67" t="str">
        <f>data_filing</f>
        <v>DATA: 12 MONTHS ACTUAL  &amp; 0 MONTHS ESTIMATED</v>
      </c>
      <c r="C766" s="32"/>
      <c r="D766" s="12"/>
      <c r="E766" s="32"/>
      <c r="F766" s="253"/>
      <c r="G766" s="27"/>
      <c r="H766" s="27"/>
      <c r="I766" s="27"/>
      <c r="J766" s="27" t="str">
        <f>"PAGE "&amp;Pages-3&amp;" OF "&amp;Pages</f>
        <v>PAGE 15 OF 18</v>
      </c>
      <c r="K766" s="27"/>
      <c r="L766" s="253"/>
      <c r="M766" s="308">
        <f t="shared" si="195"/>
        <v>0</v>
      </c>
    </row>
    <row r="767" spans="1:14">
      <c r="A767" s="67" t="str">
        <f>type</f>
        <v xml:space="preserve">TYPE OF FILING: "X" ORIGINAL   UPDATED    REVISED  </v>
      </c>
      <c r="C767" s="32"/>
      <c r="D767" s="12"/>
      <c r="E767" s="32"/>
      <c r="F767" s="253"/>
      <c r="G767" s="27"/>
      <c r="H767" s="27"/>
      <c r="I767" s="27"/>
      <c r="J767" s="27"/>
      <c r="K767" s="27"/>
      <c r="L767" s="253"/>
      <c r="M767" s="308">
        <f t="shared" si="195"/>
        <v>0</v>
      </c>
    </row>
    <row r="768" spans="1:14">
      <c r="B768" s="67"/>
      <c r="C768" s="32"/>
      <c r="D768" s="12"/>
      <c r="E768" s="32"/>
      <c r="F768" s="253"/>
      <c r="G768" s="27"/>
      <c r="H768" s="27"/>
      <c r="I768" s="27"/>
      <c r="J768" s="27"/>
      <c r="K768" s="27"/>
      <c r="L768" s="253"/>
      <c r="M768" s="308">
        <f t="shared" si="195"/>
        <v>0</v>
      </c>
    </row>
    <row r="769" spans="1:13">
      <c r="B769" s="67"/>
      <c r="C769" s="32"/>
      <c r="D769" s="12"/>
      <c r="E769" s="32"/>
      <c r="F769" s="253"/>
      <c r="G769" s="27"/>
      <c r="H769" s="27"/>
      <c r="I769" s="27"/>
      <c r="J769" s="27"/>
      <c r="K769" s="27"/>
      <c r="L769" s="253"/>
      <c r="M769" s="308">
        <f t="shared" si="195"/>
        <v>0</v>
      </c>
    </row>
    <row r="770" spans="1:13">
      <c r="A770" s="8" t="s">
        <v>91</v>
      </c>
      <c r="B770" s="27"/>
      <c r="C770" s="32"/>
      <c r="D770" s="12"/>
      <c r="E770" s="32"/>
      <c r="F770" s="284" t="s">
        <v>1</v>
      </c>
      <c r="G770" s="66" t="s">
        <v>90</v>
      </c>
      <c r="H770" s="65"/>
      <c r="I770" s="64"/>
      <c r="J770" s="8" t="s">
        <v>1</v>
      </c>
      <c r="K770" s="8" t="s">
        <v>89</v>
      </c>
      <c r="L770" s="284" t="s">
        <v>1</v>
      </c>
      <c r="M770" s="308" t="e">
        <f t="shared" si="195"/>
        <v>#VALUE!</v>
      </c>
    </row>
    <row r="771" spans="1:13">
      <c r="A771" s="57" t="s">
        <v>88</v>
      </c>
      <c r="B771" s="145" t="s">
        <v>213</v>
      </c>
      <c r="C771" s="62"/>
      <c r="D771" s="56" t="s">
        <v>85</v>
      </c>
      <c r="E771" s="62"/>
      <c r="F771" s="285" t="str">
        <f>$F$9</f>
        <v>ELECTRIC</v>
      </c>
      <c r="G771" s="60" t="str">
        <f t="shared" ref="G771:I772" si="210">G9</f>
        <v>PRODUCTION</v>
      </c>
      <c r="H771" s="59" t="str">
        <f t="shared" si="210"/>
        <v>TRANSMISSION</v>
      </c>
      <c r="I771" s="58" t="str">
        <f t="shared" si="210"/>
        <v>DISTRIBUTION</v>
      </c>
      <c r="J771" s="57" t="s">
        <v>84</v>
      </c>
      <c r="K771" s="57" t="s">
        <v>83</v>
      </c>
      <c r="L771" s="285" t="s">
        <v>82</v>
      </c>
      <c r="M771" s="308" t="e">
        <f t="shared" si="195"/>
        <v>#VALUE!</v>
      </c>
    </row>
    <row r="772" spans="1:13">
      <c r="C772" s="144" t="s">
        <v>212</v>
      </c>
      <c r="D772" s="12"/>
      <c r="E772" s="32"/>
      <c r="G772" s="131">
        <f t="shared" si="210"/>
        <v>3</v>
      </c>
      <c r="H772" s="131">
        <f t="shared" si="210"/>
        <v>4</v>
      </c>
      <c r="I772" s="131">
        <f t="shared" si="210"/>
        <v>5</v>
      </c>
      <c r="M772" s="308">
        <f t="shared" si="195"/>
        <v>0</v>
      </c>
    </row>
    <row r="773" spans="1:13">
      <c r="A773" s="137">
        <v>1</v>
      </c>
      <c r="B773" s="1" t="s">
        <v>211</v>
      </c>
      <c r="D773" s="12"/>
      <c r="E773" s="32"/>
      <c r="M773" s="308">
        <f t="shared" si="195"/>
        <v>0</v>
      </c>
    </row>
    <row r="774" spans="1:13">
      <c r="A774" s="137">
        <v>2</v>
      </c>
      <c r="B774" s="1" t="s">
        <v>210</v>
      </c>
      <c r="D774" s="12"/>
      <c r="E774" s="32"/>
      <c r="G774" s="143" t="s">
        <v>209</v>
      </c>
      <c r="M774" s="308">
        <f t="shared" si="195"/>
        <v>0</v>
      </c>
    </row>
    <row r="775" spans="1:13">
      <c r="A775" s="137">
        <v>3</v>
      </c>
      <c r="C775" s="3" t="s">
        <v>205</v>
      </c>
      <c r="D775" s="12"/>
      <c r="E775" s="32"/>
      <c r="F775" s="287">
        <f>'[4]SCH_J1 - Forecast'!$G$18</f>
        <v>434934967</v>
      </c>
      <c r="G775" s="142">
        <f>IF(TotalCap=0,0,ROUND(F775/TotalCap,5))</f>
        <v>0.40678999999999998</v>
      </c>
      <c r="H775" s="1">
        <f>IF(TotalCap=0,0,1-SUM(G776:G779))</f>
        <v>0.40678999999999998</v>
      </c>
      <c r="L775" s="287">
        <v>434934967</v>
      </c>
      <c r="M775" s="308">
        <f t="shared" si="195"/>
        <v>0</v>
      </c>
    </row>
    <row r="776" spans="1:13">
      <c r="A776" s="137">
        <v>4</v>
      </c>
      <c r="C776" s="3" t="s">
        <v>204</v>
      </c>
      <c r="D776" s="12"/>
      <c r="E776" s="32"/>
      <c r="F776" s="287">
        <v>0</v>
      </c>
      <c r="G776" s="142">
        <f>IF(TotalCap=0,0,ROUND(F776/TotalCap,5))</f>
        <v>0</v>
      </c>
      <c r="L776" s="287">
        <v>0</v>
      </c>
      <c r="M776" s="308">
        <f t="shared" si="195"/>
        <v>0</v>
      </c>
    </row>
    <row r="777" spans="1:13">
      <c r="A777" s="137">
        <v>5</v>
      </c>
      <c r="C777" s="3" t="s">
        <v>203</v>
      </c>
      <c r="D777" s="12"/>
      <c r="E777" s="32"/>
      <c r="F777" s="287">
        <f>'[4]SCH_J1 - Forecast'!$G$17</f>
        <v>522765867</v>
      </c>
      <c r="G777" s="142">
        <f>1-G775-G776-G778-G779</f>
        <v>0.48893000000000003</v>
      </c>
      <c r="L777" s="287">
        <v>522765867</v>
      </c>
      <c r="M777" s="308">
        <f t="shared" si="195"/>
        <v>0</v>
      </c>
    </row>
    <row r="778" spans="1:13">
      <c r="A778" s="137">
        <v>6</v>
      </c>
      <c r="C778" s="3" t="s">
        <v>202</v>
      </c>
      <c r="D778" s="12"/>
      <c r="E778" s="32"/>
      <c r="F778" s="287">
        <f>'[4]SCH_J1 - Forecast'!$G$19</f>
        <v>111491538</v>
      </c>
      <c r="G778" s="142">
        <f>IF(TotalCap=0,0,ROUND(F778/TotalCap,5))</f>
        <v>0.10428</v>
      </c>
      <c r="L778" s="287">
        <v>111491538</v>
      </c>
      <c r="M778" s="308">
        <f t="shared" si="195"/>
        <v>0</v>
      </c>
    </row>
    <row r="779" spans="1:13">
      <c r="A779" s="137">
        <v>7</v>
      </c>
      <c r="C779" s="3" t="s">
        <v>201</v>
      </c>
      <c r="D779" s="12"/>
      <c r="E779" s="32"/>
      <c r="F779" s="287">
        <v>0</v>
      </c>
      <c r="G779" s="142">
        <f>IF(TotalCap=0,0,ROUND(F779/TotalCap,5))</f>
        <v>0</v>
      </c>
      <c r="L779" s="287">
        <v>0</v>
      </c>
      <c r="M779" s="308">
        <f t="shared" si="195"/>
        <v>0</v>
      </c>
    </row>
    <row r="780" spans="1:13">
      <c r="A780" s="137">
        <v>8</v>
      </c>
      <c r="C780" s="3" t="s">
        <v>208</v>
      </c>
      <c r="D780" s="12"/>
      <c r="E780" s="32"/>
      <c r="F780" s="288">
        <f>SUM(F774:F779)</f>
        <v>1069192372</v>
      </c>
      <c r="G780" s="141">
        <f>SUM(G775:G779)</f>
        <v>1</v>
      </c>
      <c r="L780" s="288">
        <v>1069192372</v>
      </c>
      <c r="M780" s="308">
        <f t="shared" ref="M780:M801" si="211">L780-F780</f>
        <v>0</v>
      </c>
    </row>
    <row r="781" spans="1:13">
      <c r="A781" s="137">
        <v>9</v>
      </c>
      <c r="D781" s="12"/>
      <c r="E781" s="32"/>
      <c r="M781" s="308">
        <f t="shared" si="211"/>
        <v>0</v>
      </c>
    </row>
    <row r="782" spans="1:13">
      <c r="A782" s="137">
        <v>10</v>
      </c>
      <c r="B782" s="1" t="s">
        <v>207</v>
      </c>
      <c r="D782" s="12"/>
      <c r="E782" s="32"/>
      <c r="M782" s="308">
        <f t="shared" si="211"/>
        <v>0</v>
      </c>
    </row>
    <row r="783" spans="1:13">
      <c r="A783" s="137">
        <v>11</v>
      </c>
      <c r="C783" s="3" t="s">
        <v>205</v>
      </c>
      <c r="D783" s="12"/>
      <c r="E783" s="32"/>
      <c r="F783" s="289">
        <f>'[4]SCH_J1 - Forecast'!$K$18</f>
        <v>4.2430000000000002E-2</v>
      </c>
      <c r="G783" s="135"/>
      <c r="H783" s="135"/>
      <c r="I783" s="135"/>
      <c r="L783" s="289">
        <v>4.2430000000000002E-2</v>
      </c>
      <c r="M783" s="308">
        <f t="shared" si="211"/>
        <v>0</v>
      </c>
    </row>
    <row r="784" spans="1:13">
      <c r="A784" s="137">
        <v>12</v>
      </c>
      <c r="C784" s="3" t="s">
        <v>204</v>
      </c>
      <c r="D784" s="12"/>
      <c r="E784" s="32"/>
      <c r="F784" s="289">
        <v>0</v>
      </c>
      <c r="G784" s="135"/>
      <c r="H784" s="135"/>
      <c r="I784" s="135"/>
      <c r="L784" s="289">
        <v>0</v>
      </c>
      <c r="M784" s="308">
        <f t="shared" si="211"/>
        <v>0</v>
      </c>
    </row>
    <row r="785" spans="1:14">
      <c r="A785" s="137">
        <v>13</v>
      </c>
      <c r="C785" s="3" t="s">
        <v>203</v>
      </c>
      <c r="D785" s="12"/>
      <c r="E785" s="32"/>
      <c r="F785" s="289">
        <f>'[4]SCH_J1 - Forecast'!$K$17</f>
        <v>0.10299999999999999</v>
      </c>
      <c r="G785" s="135"/>
      <c r="H785" s="135"/>
      <c r="I785" s="135"/>
      <c r="L785" s="289">
        <v>0.10299999999999999</v>
      </c>
      <c r="M785" s="308">
        <f t="shared" si="211"/>
        <v>0</v>
      </c>
    </row>
    <row r="786" spans="1:14">
      <c r="A786" s="137">
        <v>14</v>
      </c>
      <c r="C786" s="3" t="s">
        <v>202</v>
      </c>
      <c r="D786" s="12"/>
      <c r="E786" s="32"/>
      <c r="F786" s="289">
        <f>'[4]SCH_J1 - Forecast'!$K$19</f>
        <v>3.083E-2</v>
      </c>
      <c r="G786" s="135"/>
      <c r="H786" s="135"/>
      <c r="I786" s="135"/>
      <c r="L786" s="289">
        <v>3.083E-2</v>
      </c>
      <c r="M786" s="308">
        <f t="shared" si="211"/>
        <v>0</v>
      </c>
    </row>
    <row r="787" spans="1:14">
      <c r="A787" s="137">
        <v>15</v>
      </c>
      <c r="C787" s="3" t="s">
        <v>201</v>
      </c>
      <c r="D787" s="12"/>
      <c r="E787" s="32"/>
      <c r="F787" s="289">
        <v>0</v>
      </c>
      <c r="G787" s="135"/>
      <c r="H787" s="135"/>
      <c r="I787" s="135"/>
      <c r="L787" s="289">
        <v>0</v>
      </c>
      <c r="M787" s="308">
        <f t="shared" si="211"/>
        <v>0</v>
      </c>
    </row>
    <row r="788" spans="1:14">
      <c r="A788" s="137">
        <v>16</v>
      </c>
      <c r="D788" s="12"/>
      <c r="E788" s="32"/>
      <c r="M788" s="308">
        <f t="shared" si="211"/>
        <v>0</v>
      </c>
    </row>
    <row r="789" spans="1:14">
      <c r="A789" s="137">
        <v>17</v>
      </c>
      <c r="B789" s="1" t="s">
        <v>206</v>
      </c>
      <c r="D789" s="12"/>
      <c r="E789" s="32"/>
      <c r="M789" s="308">
        <f t="shared" si="211"/>
        <v>0</v>
      </c>
    </row>
    <row r="790" spans="1:14">
      <c r="A790" s="137">
        <v>18</v>
      </c>
      <c r="C790" s="3" t="s">
        <v>205</v>
      </c>
      <c r="D790" s="12"/>
      <c r="E790" s="32"/>
      <c r="F790" s="290">
        <f>ROUND(G775*F783,5)</f>
        <v>1.7260000000000001E-2</v>
      </c>
      <c r="G790" s="139"/>
      <c r="H790" s="139"/>
      <c r="I790" s="139"/>
      <c r="L790" s="290">
        <v>1.7260000000000001E-2</v>
      </c>
      <c r="M790" s="308">
        <f t="shared" si="211"/>
        <v>0</v>
      </c>
    </row>
    <row r="791" spans="1:14">
      <c r="A791" s="137">
        <v>19</v>
      </c>
      <c r="C791" s="3" t="s">
        <v>204</v>
      </c>
      <c r="D791" s="12"/>
      <c r="E791" s="32"/>
      <c r="F791" s="290">
        <f>ROUND(G776*F784,5)</f>
        <v>0</v>
      </c>
      <c r="G791" s="139"/>
      <c r="H791" s="139"/>
      <c r="I791" s="139"/>
      <c r="L791" s="290">
        <v>0</v>
      </c>
      <c r="M791" s="308">
        <f t="shared" si="211"/>
        <v>0</v>
      </c>
    </row>
    <row r="792" spans="1:14">
      <c r="A792" s="137">
        <v>20</v>
      </c>
      <c r="C792" s="3" t="s">
        <v>203</v>
      </c>
      <c r="D792" s="12"/>
      <c r="E792" s="32"/>
      <c r="F792" s="290">
        <f>ROUND(G777*F785,5)</f>
        <v>5.0360000000000002E-2</v>
      </c>
      <c r="G792" s="139"/>
      <c r="H792" s="139"/>
      <c r="I792" s="139"/>
      <c r="L792" s="290">
        <v>5.0360000000000002E-2</v>
      </c>
      <c r="M792" s="308">
        <f t="shared" si="211"/>
        <v>0</v>
      </c>
    </row>
    <row r="793" spans="1:14">
      <c r="A793" s="137">
        <v>21</v>
      </c>
      <c r="C793" s="3" t="s">
        <v>202</v>
      </c>
      <c r="D793" s="12"/>
      <c r="E793" s="32"/>
      <c r="F793" s="290">
        <f>ROUND(G778*F786,5)</f>
        <v>3.2100000000000002E-3</v>
      </c>
      <c r="G793" s="139"/>
      <c r="H793" s="139"/>
      <c r="I793" s="139"/>
      <c r="L793" s="290">
        <v>3.2100000000000002E-3</v>
      </c>
      <c r="M793" s="308">
        <f t="shared" si="211"/>
        <v>0</v>
      </c>
    </row>
    <row r="794" spans="1:14">
      <c r="A794" s="137">
        <v>22</v>
      </c>
      <c r="C794" s="3" t="s">
        <v>201</v>
      </c>
      <c r="D794" s="12"/>
      <c r="E794" s="32"/>
      <c r="F794" s="290">
        <f>ROUND(G779*F787,5)</f>
        <v>0</v>
      </c>
      <c r="G794" s="139"/>
      <c r="H794" s="139"/>
      <c r="I794" s="139"/>
      <c r="L794" s="290">
        <v>0</v>
      </c>
      <c r="M794" s="308">
        <f t="shared" si="211"/>
        <v>0</v>
      </c>
    </row>
    <row r="795" spans="1:14">
      <c r="A795" s="137">
        <v>23</v>
      </c>
      <c r="C795" s="3" t="s">
        <v>200</v>
      </c>
      <c r="D795" s="12"/>
      <c r="E795" s="32"/>
      <c r="F795" s="291">
        <f>SUM(F790:F794)</f>
        <v>7.0830000000000004E-2</v>
      </c>
      <c r="G795" s="138"/>
      <c r="H795" s="138"/>
      <c r="I795" s="138"/>
      <c r="L795" s="291">
        <v>7.0830000000000004E-2</v>
      </c>
      <c r="M795" s="308">
        <f t="shared" si="211"/>
        <v>0</v>
      </c>
    </row>
    <row r="796" spans="1:14">
      <c r="A796" s="137">
        <v>24</v>
      </c>
      <c r="D796" s="12"/>
      <c r="E796" s="32"/>
      <c r="M796" s="308">
        <f t="shared" si="211"/>
        <v>0</v>
      </c>
    </row>
    <row r="797" spans="1:14">
      <c r="A797" s="137">
        <v>25</v>
      </c>
      <c r="B797" s="1" t="s">
        <v>199</v>
      </c>
      <c r="D797" s="12"/>
      <c r="E797" s="32"/>
      <c r="M797" s="308">
        <f t="shared" si="211"/>
        <v>0</v>
      </c>
    </row>
    <row r="798" spans="1:14">
      <c r="A798" s="137">
        <v>26</v>
      </c>
      <c r="C798" s="3" t="s">
        <v>198</v>
      </c>
      <c r="D798" s="12"/>
      <c r="E798" s="32"/>
      <c r="F798" s="292">
        <v>0</v>
      </c>
      <c r="G798" s="136">
        <f>F798</f>
        <v>0</v>
      </c>
      <c r="H798" s="136">
        <f>F798</f>
        <v>0</v>
      </c>
      <c r="I798" s="136">
        <f>F798</f>
        <v>0</v>
      </c>
      <c r="J798" s="136">
        <f>F798</f>
        <v>0</v>
      </c>
      <c r="K798" s="136">
        <f>F798</f>
        <v>0</v>
      </c>
      <c r="L798" s="292">
        <v>0</v>
      </c>
      <c r="M798" s="308">
        <f t="shared" si="211"/>
        <v>0</v>
      </c>
    </row>
    <row r="799" spans="1:14">
      <c r="A799" s="137">
        <v>27</v>
      </c>
      <c r="C799" s="3" t="s">
        <v>197</v>
      </c>
      <c r="D799" s="12"/>
      <c r="E799" s="32"/>
      <c r="F799" s="289">
        <v>0.21</v>
      </c>
      <c r="G799" s="136">
        <f>FIT</f>
        <v>0.21</v>
      </c>
      <c r="H799" s="136">
        <f>FIT</f>
        <v>0.21</v>
      </c>
      <c r="I799" s="136">
        <f>FIT</f>
        <v>0.21</v>
      </c>
      <c r="J799" s="136">
        <f>FIT</f>
        <v>0.21</v>
      </c>
      <c r="K799" s="136">
        <f>FIT</f>
        <v>0.21</v>
      </c>
      <c r="L799" s="289">
        <v>0.35</v>
      </c>
      <c r="M799" s="308">
        <f t="shared" si="211"/>
        <v>0.13999999999999999</v>
      </c>
      <c r="N799" s="1" t="s">
        <v>196</v>
      </c>
    </row>
    <row r="800" spans="1:14" s="3" customFormat="1">
      <c r="A800" s="4">
        <v>28</v>
      </c>
      <c r="C800" s="3" t="s">
        <v>195</v>
      </c>
      <c r="D800" s="12"/>
      <c r="E800" s="136">
        <f>F703</f>
        <v>5.6470480000000003E-2</v>
      </c>
      <c r="F800" s="289">
        <f>[4]!KPSC*0.890867</f>
        <v>5.3452019999999996E-2</v>
      </c>
      <c r="G800" s="136">
        <f>SIT</f>
        <v>5.3452019999999996E-2</v>
      </c>
      <c r="H800" s="136">
        <f>SIT</f>
        <v>5.3452019999999996E-2</v>
      </c>
      <c r="I800" s="136">
        <f>SIT</f>
        <v>5.3452019999999996E-2</v>
      </c>
      <c r="J800" s="136">
        <f>SIT</f>
        <v>5.3452019999999996E-2</v>
      </c>
      <c r="K800" s="136">
        <f>SIT</f>
        <v>5.3452019999999996E-2</v>
      </c>
      <c r="L800" s="289">
        <v>5.3452019999999996E-2</v>
      </c>
      <c r="M800" s="308">
        <f t="shared" si="211"/>
        <v>0</v>
      </c>
    </row>
    <row r="801" spans="1:13">
      <c r="A801" s="137">
        <v>29</v>
      </c>
      <c r="C801" s="3" t="s">
        <v>194</v>
      </c>
      <c r="D801" s="12"/>
      <c r="E801" s="32"/>
      <c r="F801" s="289">
        <v>0</v>
      </c>
      <c r="G801" s="136">
        <f>RevTax</f>
        <v>0</v>
      </c>
      <c r="H801" s="136">
        <f>RevTax</f>
        <v>0</v>
      </c>
      <c r="I801" s="136">
        <f>RevTax</f>
        <v>0</v>
      </c>
      <c r="J801" s="136">
        <f>RevTax</f>
        <v>0</v>
      </c>
      <c r="K801" s="136">
        <f>RevTax</f>
        <v>0</v>
      </c>
      <c r="L801" s="289">
        <v>0</v>
      </c>
      <c r="M801" s="308">
        <f t="shared" si="211"/>
        <v>0</v>
      </c>
    </row>
    <row r="803" spans="1:13">
      <c r="A803" s="67" t="str">
        <f>co_name</f>
        <v>DUKE ENERGY KENTUCKY, INC.</v>
      </c>
      <c r="C803" s="32"/>
      <c r="D803" s="12"/>
      <c r="E803" s="32"/>
      <c r="F803" s="253"/>
      <c r="G803" s="27"/>
      <c r="H803" s="27"/>
      <c r="I803" s="27"/>
      <c r="J803" s="27" t="str">
        <f>J1</f>
        <v>FR-16(7)(v)-1</v>
      </c>
      <c r="K803" s="27"/>
      <c r="L803" s="253"/>
    </row>
    <row r="804" spans="1:13">
      <c r="A804" s="67" t="str">
        <f>$A$2</f>
        <v>FUNCTIONAL ELECTRIC COST OF SERVICE</v>
      </c>
      <c r="C804" s="32"/>
      <c r="D804" s="12"/>
      <c r="E804" s="32"/>
      <c r="F804" s="253"/>
      <c r="G804" s="27"/>
      <c r="H804" s="27"/>
      <c r="I804" s="27"/>
      <c r="J804" s="27" t="str">
        <f>J2</f>
        <v>WITNESS RESPONSIBLE:</v>
      </c>
      <c r="K804" s="27"/>
      <c r="L804" s="253"/>
    </row>
    <row r="805" spans="1:13">
      <c r="A805" s="67" t="str">
        <f>case_name</f>
        <v>CASE NO: 2017-00321</v>
      </c>
      <c r="C805" s="32"/>
      <c r="D805" s="12"/>
      <c r="E805" s="32"/>
      <c r="F805" s="253"/>
      <c r="G805" s="27"/>
      <c r="H805" s="27"/>
      <c r="I805" s="27"/>
      <c r="J805" s="27" t="str">
        <f>Witness</f>
        <v>JAMES E. ZIOLKOWSKI</v>
      </c>
      <c r="K805" s="27"/>
      <c r="L805" s="253"/>
    </row>
    <row r="806" spans="1:13">
      <c r="A806" s="67" t="str">
        <f>data_filing</f>
        <v>DATA: 12 MONTHS ACTUAL  &amp; 0 MONTHS ESTIMATED</v>
      </c>
      <c r="C806" s="32"/>
      <c r="D806" s="12"/>
      <c r="E806" s="32"/>
      <c r="F806" s="253"/>
      <c r="G806" s="27"/>
      <c r="H806" s="27"/>
      <c r="I806" s="27"/>
      <c r="J806" s="27" t="str">
        <f>"PAGE "&amp;Pages-2&amp;" OF "&amp;Pages</f>
        <v>PAGE 16 OF 18</v>
      </c>
      <c r="K806" s="27"/>
      <c r="L806" s="253"/>
    </row>
    <row r="807" spans="1:13">
      <c r="A807" s="67" t="str">
        <f>type</f>
        <v xml:space="preserve">TYPE OF FILING: "X" ORIGINAL   UPDATED    REVISED  </v>
      </c>
      <c r="C807" s="32"/>
      <c r="D807" s="12"/>
      <c r="E807" s="32"/>
      <c r="F807" s="253"/>
      <c r="G807" s="27"/>
      <c r="H807" s="27"/>
      <c r="I807" s="27"/>
      <c r="J807" s="27"/>
      <c r="K807" s="27"/>
      <c r="L807" s="253"/>
    </row>
    <row r="810" spans="1:13">
      <c r="A810" s="8" t="s">
        <v>91</v>
      </c>
      <c r="B810" s="27"/>
      <c r="C810" s="32"/>
      <c r="D810" s="12"/>
      <c r="E810" s="12"/>
      <c r="F810" s="293" t="s">
        <v>1</v>
      </c>
      <c r="G810" s="66" t="s">
        <v>90</v>
      </c>
      <c r="H810" s="65"/>
      <c r="I810" s="64"/>
      <c r="J810" s="8" t="s">
        <v>1</v>
      </c>
      <c r="K810" s="8" t="s">
        <v>89</v>
      </c>
      <c r="L810" s="293" t="s">
        <v>1</v>
      </c>
    </row>
    <row r="811" spans="1:13">
      <c r="A811" s="57" t="s">
        <v>88</v>
      </c>
      <c r="B811" s="63" t="s">
        <v>87</v>
      </c>
      <c r="C811" s="62"/>
      <c r="D811" s="61" t="s">
        <v>86</v>
      </c>
      <c r="E811" s="61" t="s">
        <v>85</v>
      </c>
      <c r="F811" s="285" t="str">
        <f>$F$9</f>
        <v>ELECTRIC</v>
      </c>
      <c r="G811" s="60" t="str">
        <f t="shared" ref="G811:I812" si="212">G9</f>
        <v>PRODUCTION</v>
      </c>
      <c r="H811" s="59" t="str">
        <f t="shared" si="212"/>
        <v>TRANSMISSION</v>
      </c>
      <c r="I811" s="58" t="str">
        <f t="shared" si="212"/>
        <v>DISTRIBUTION</v>
      </c>
      <c r="J811" s="57" t="s">
        <v>84</v>
      </c>
      <c r="K811" s="57" t="s">
        <v>83</v>
      </c>
      <c r="L811" s="285" t="s">
        <v>82</v>
      </c>
    </row>
    <row r="812" spans="1:13">
      <c r="A812" s="27"/>
      <c r="B812" s="134"/>
      <c r="C812" s="133" t="s">
        <v>193</v>
      </c>
      <c r="D812" s="79"/>
      <c r="E812" s="15">
        <v>1</v>
      </c>
      <c r="F812" s="294">
        <v>2</v>
      </c>
      <c r="G812" s="132">
        <f t="shared" si="212"/>
        <v>3</v>
      </c>
      <c r="H812" s="131">
        <f t="shared" si="212"/>
        <v>4</v>
      </c>
      <c r="I812" s="130">
        <f t="shared" si="212"/>
        <v>5</v>
      </c>
      <c r="L812" s="294">
        <v>2</v>
      </c>
    </row>
    <row r="813" spans="1:13">
      <c r="A813" s="12">
        <v>1</v>
      </c>
      <c r="B813" s="129" t="s">
        <v>192</v>
      </c>
      <c r="C813" s="128"/>
      <c r="D813" s="127"/>
      <c r="E813" s="127"/>
      <c r="F813" s="295"/>
      <c r="G813" s="126"/>
      <c r="H813" s="74"/>
      <c r="I813" s="125"/>
      <c r="L813" s="295"/>
    </row>
    <row r="814" spans="1:13">
      <c r="A814" s="109">
        <v>2</v>
      </c>
      <c r="B814" s="115"/>
      <c r="C814" s="94" t="s">
        <v>191</v>
      </c>
      <c r="D814" s="105" t="s">
        <v>157</v>
      </c>
      <c r="E814" s="114"/>
      <c r="F814" s="296">
        <f>'[2]WP FR-16(7)(v)-KW &amp; KWH @Gen'!D38</f>
        <v>710084</v>
      </c>
      <c r="G814" s="118">
        <f>'[2]WP FR-16(7)(v)-KW &amp; KWH @Gen'!D38</f>
        <v>710084</v>
      </c>
      <c r="H814" s="110">
        <v>0</v>
      </c>
      <c r="I814" s="121">
        <v>0</v>
      </c>
      <c r="J814" s="118">
        <f t="shared" ref="J814:J849" si="213">SUM(G814:I814)</f>
        <v>710084</v>
      </c>
      <c r="K814" s="120">
        <f t="shared" ref="K814:K849" si="214">F814-J814</f>
        <v>0</v>
      </c>
      <c r="L814" s="296">
        <v>710084</v>
      </c>
    </row>
    <row r="815" spans="1:13">
      <c r="A815" s="109">
        <v>3</v>
      </c>
      <c r="B815" s="108"/>
      <c r="C815" s="82" t="s">
        <v>149</v>
      </c>
      <c r="D815" s="6"/>
      <c r="E815" s="26" t="s">
        <v>190</v>
      </c>
      <c r="F815" s="297">
        <v>1</v>
      </c>
      <c r="G815" s="107">
        <f>ROUND(G814/(G814+H814+I814),5)</f>
        <v>1</v>
      </c>
      <c r="H815" s="106">
        <f>ROUND(H814/(G814+H814+I814),5)</f>
        <v>0</v>
      </c>
      <c r="I815" s="117">
        <v>0</v>
      </c>
      <c r="J815" s="107">
        <f t="shared" si="213"/>
        <v>1</v>
      </c>
      <c r="K815" s="106">
        <f t="shared" si="214"/>
        <v>0</v>
      </c>
      <c r="L815" s="297">
        <v>1</v>
      </c>
    </row>
    <row r="816" spans="1:13">
      <c r="A816" s="12">
        <v>4</v>
      </c>
      <c r="B816" s="32"/>
      <c r="C816" s="94" t="s">
        <v>189</v>
      </c>
      <c r="D816" s="105" t="s">
        <v>157</v>
      </c>
      <c r="E816" s="114"/>
      <c r="F816" s="296">
        <f>'[2]WP FR-16(7)(v)-KW &amp; KWH @Gen'!D38</f>
        <v>710084</v>
      </c>
      <c r="G816" s="102">
        <v>0</v>
      </c>
      <c r="H816" s="113">
        <f>'[2]WP FR-16(7)(v)-KW &amp; KWH @Gen'!D38</f>
        <v>710084</v>
      </c>
      <c r="I816" s="124">
        <v>0</v>
      </c>
      <c r="J816" s="104">
        <f t="shared" si="213"/>
        <v>710084</v>
      </c>
      <c r="K816" s="113">
        <f t="shared" si="214"/>
        <v>0</v>
      </c>
      <c r="L816" s="296">
        <v>710084</v>
      </c>
    </row>
    <row r="817" spans="1:12">
      <c r="A817" s="12">
        <v>5</v>
      </c>
      <c r="B817" s="32"/>
      <c r="C817" s="82" t="s">
        <v>149</v>
      </c>
      <c r="D817" s="6"/>
      <c r="E817" s="26" t="s">
        <v>188</v>
      </c>
      <c r="F817" s="297">
        <v>1</v>
      </c>
      <c r="G817" s="99">
        <f>ROUND(G816/(G816+H816+I816),5)</f>
        <v>0</v>
      </c>
      <c r="H817" s="9">
        <f>ROUND(H816/(G816+H816+I816),5)</f>
        <v>1</v>
      </c>
      <c r="I817" s="100">
        <v>0</v>
      </c>
      <c r="J817" s="99">
        <f t="shared" si="213"/>
        <v>1</v>
      </c>
      <c r="K817" s="9">
        <f t="shared" si="214"/>
        <v>0</v>
      </c>
      <c r="L817" s="297">
        <v>1</v>
      </c>
    </row>
    <row r="818" spans="1:12">
      <c r="A818" s="109">
        <v>6</v>
      </c>
      <c r="B818" s="115"/>
      <c r="C818" s="94" t="s">
        <v>187</v>
      </c>
      <c r="D818" s="105" t="s">
        <v>157</v>
      </c>
      <c r="E818" s="114"/>
      <c r="F818" s="296">
        <f>'[2]WP FR-16(7)(v)-KW &amp; KWH @Dist'!D39</f>
        <v>1503360</v>
      </c>
      <c r="G818" s="111">
        <v>0</v>
      </c>
      <c r="H818" s="110">
        <v>0</v>
      </c>
      <c r="I818" s="119">
        <f>'[2]WP FR-16(7)(v)-KW &amp; KWH @Dist'!D39</f>
        <v>1503360</v>
      </c>
      <c r="J818" s="118">
        <f t="shared" si="213"/>
        <v>1503360</v>
      </c>
      <c r="K818" s="110">
        <f t="shared" si="214"/>
        <v>0</v>
      </c>
      <c r="L818" s="296">
        <v>1503360</v>
      </c>
    </row>
    <row r="819" spans="1:12">
      <c r="A819" s="109">
        <v>7</v>
      </c>
      <c r="B819" s="108"/>
      <c r="C819" s="82" t="s">
        <v>149</v>
      </c>
      <c r="D819" s="6"/>
      <c r="E819" s="26" t="s">
        <v>186</v>
      </c>
      <c r="F819" s="297">
        <v>1</v>
      </c>
      <c r="G819" s="107">
        <f>ROUND(G818/(G818+H818+I818),5)</f>
        <v>0</v>
      </c>
      <c r="H819" s="106">
        <f>ROUND(H818/(G818+H818+I818),5)</f>
        <v>0</v>
      </c>
      <c r="I819" s="117">
        <f>ROUND(I818/(G818+H818+I818),5)</f>
        <v>1</v>
      </c>
      <c r="J819" s="107">
        <f t="shared" si="213"/>
        <v>1</v>
      </c>
      <c r="K819" s="106">
        <f t="shared" si="214"/>
        <v>0</v>
      </c>
      <c r="L819" s="297">
        <v>1</v>
      </c>
    </row>
    <row r="820" spans="1:12">
      <c r="A820" s="12">
        <v>8</v>
      </c>
      <c r="B820" s="3"/>
      <c r="C820" s="94" t="s">
        <v>185</v>
      </c>
      <c r="D820" s="105" t="s">
        <v>157</v>
      </c>
      <c r="E820" s="13"/>
      <c r="F820" s="296">
        <f>'[2]WP FR-16(7)(v) Distlines'!G38</f>
        <v>717613</v>
      </c>
      <c r="G820" s="102">
        <v>0</v>
      </c>
      <c r="H820" s="101">
        <v>0</v>
      </c>
      <c r="I820" s="14">
        <f>'[2]WP FR-16(7)(v) Distlines'!G38</f>
        <v>717613</v>
      </c>
      <c r="J820" s="104">
        <f t="shared" si="213"/>
        <v>717613</v>
      </c>
      <c r="K820" s="101">
        <f t="shared" si="214"/>
        <v>0</v>
      </c>
      <c r="L820" s="296">
        <v>717613</v>
      </c>
    </row>
    <row r="821" spans="1:12">
      <c r="A821" s="12">
        <v>9</v>
      </c>
      <c r="B821" s="32"/>
      <c r="C821" s="82" t="s">
        <v>149</v>
      </c>
      <c r="D821" s="6"/>
      <c r="E821" s="26" t="s">
        <v>184</v>
      </c>
      <c r="F821" s="297">
        <v>1</v>
      </c>
      <c r="G821" s="99">
        <f>ROUND(G820/(G820+H820+I820),5)</f>
        <v>0</v>
      </c>
      <c r="H821" s="9">
        <f>ROUND(H820/(G820+H820+I820),5)</f>
        <v>0</v>
      </c>
      <c r="I821" s="100">
        <f>ROUND(I820/(G820+H820+I820),5)</f>
        <v>1</v>
      </c>
      <c r="J821" s="99">
        <f t="shared" si="213"/>
        <v>1</v>
      </c>
      <c r="K821" s="9">
        <f t="shared" si="214"/>
        <v>0</v>
      </c>
      <c r="L821" s="297">
        <v>1</v>
      </c>
    </row>
    <row r="822" spans="1:12">
      <c r="A822" s="109">
        <v>10</v>
      </c>
      <c r="B822" s="115"/>
      <c r="C822" s="94" t="s">
        <v>183</v>
      </c>
      <c r="D822" s="105" t="s">
        <v>157</v>
      </c>
      <c r="E822" s="114"/>
      <c r="F822" s="296">
        <f>'[2]WP FR-16(7)(v) Distlines'!K38</f>
        <v>717613</v>
      </c>
      <c r="G822" s="111">
        <v>0</v>
      </c>
      <c r="H822" s="110">
        <v>0</v>
      </c>
      <c r="I822" s="123">
        <f>'[2]WP FR-16(7)(v) Distlines'!K38</f>
        <v>717613</v>
      </c>
      <c r="J822" s="118">
        <f t="shared" si="213"/>
        <v>717613</v>
      </c>
      <c r="K822" s="110">
        <f t="shared" si="214"/>
        <v>0</v>
      </c>
      <c r="L822" s="296">
        <v>717613</v>
      </c>
    </row>
    <row r="823" spans="1:12">
      <c r="A823" s="109">
        <v>11</v>
      </c>
      <c r="B823" s="108"/>
      <c r="C823" s="82" t="s">
        <v>149</v>
      </c>
      <c r="D823" s="6"/>
      <c r="E823" s="26" t="s">
        <v>182</v>
      </c>
      <c r="F823" s="297">
        <v>1</v>
      </c>
      <c r="G823" s="107">
        <f>ROUND(G822/(G822+H822+I822),5)</f>
        <v>0</v>
      </c>
      <c r="H823" s="106">
        <f>ROUND(H822/(G822+H822+I822),5)</f>
        <v>0</v>
      </c>
      <c r="I823" s="117">
        <f>ROUND(I822/(G822+H822+I822),5)</f>
        <v>1</v>
      </c>
      <c r="J823" s="107">
        <f t="shared" si="213"/>
        <v>1</v>
      </c>
      <c r="K823" s="106">
        <f t="shared" si="214"/>
        <v>0</v>
      </c>
      <c r="L823" s="297">
        <v>1</v>
      </c>
    </row>
    <row r="824" spans="1:12">
      <c r="A824" s="12">
        <v>12</v>
      </c>
      <c r="B824" s="3"/>
      <c r="C824" s="94" t="s">
        <v>181</v>
      </c>
      <c r="D824" s="105" t="s">
        <v>157</v>
      </c>
      <c r="E824" s="13"/>
      <c r="F824" s="296">
        <f>SUM(F57:F74)</f>
        <v>432487709</v>
      </c>
      <c r="G824" s="104">
        <f>SUM(G57:G74)</f>
        <v>0</v>
      </c>
      <c r="H824" s="113">
        <f>SUM(H57:H74)</f>
        <v>59521</v>
      </c>
      <c r="I824" s="112">
        <f>SUM(I57:I74)</f>
        <v>432428188</v>
      </c>
      <c r="J824" s="104">
        <f t="shared" si="213"/>
        <v>432487709</v>
      </c>
      <c r="K824" s="113">
        <f t="shared" si="214"/>
        <v>0</v>
      </c>
      <c r="L824" s="296">
        <v>432487709</v>
      </c>
    </row>
    <row r="825" spans="1:12">
      <c r="A825" s="12">
        <v>13</v>
      </c>
      <c r="B825" s="32"/>
      <c r="C825" s="82" t="s">
        <v>149</v>
      </c>
      <c r="D825" s="6"/>
      <c r="E825" s="26" t="s">
        <v>180</v>
      </c>
      <c r="F825" s="297">
        <v>1</v>
      </c>
      <c r="G825" s="99">
        <f>ROUND(G824/(G824+H824+I824),5)</f>
        <v>0</v>
      </c>
      <c r="H825" s="9">
        <f>ROUND(H824/(G824+H824+I824),5)</f>
        <v>1.3999999999999999E-4</v>
      </c>
      <c r="I825" s="100">
        <f>ROUND(I824/(G824+H824+I824),5)</f>
        <v>0.99985999999999997</v>
      </c>
      <c r="J825" s="99">
        <f t="shared" si="213"/>
        <v>1</v>
      </c>
      <c r="K825" s="9">
        <f t="shared" si="214"/>
        <v>0</v>
      </c>
      <c r="L825" s="297">
        <v>1</v>
      </c>
    </row>
    <row r="826" spans="1:12">
      <c r="A826" s="109">
        <v>14</v>
      </c>
      <c r="B826" s="115"/>
      <c r="C826" s="94" t="s">
        <v>179</v>
      </c>
      <c r="D826" s="105" t="s">
        <v>157</v>
      </c>
      <c r="E826" s="114"/>
      <c r="F826" s="296">
        <f>'[2]WP FR-16(7)(v)-KW &amp; KWH @Dist'!L39</f>
        <v>717613</v>
      </c>
      <c r="G826" s="111">
        <v>0</v>
      </c>
      <c r="H826" s="110">
        <v>0</v>
      </c>
      <c r="I826" s="119">
        <f>'[2]WP FR-16(7)(v)-KW &amp; KWH @Dist'!L39</f>
        <v>717613</v>
      </c>
      <c r="J826" s="118">
        <f t="shared" si="213"/>
        <v>717613</v>
      </c>
      <c r="K826" s="110">
        <f t="shared" si="214"/>
        <v>0</v>
      </c>
      <c r="L826" s="296">
        <v>717613</v>
      </c>
    </row>
    <row r="827" spans="1:12">
      <c r="A827" s="109">
        <v>15</v>
      </c>
      <c r="B827" s="108"/>
      <c r="C827" s="82" t="s">
        <v>149</v>
      </c>
      <c r="D827" s="6"/>
      <c r="E827" s="26" t="s">
        <v>178</v>
      </c>
      <c r="F827" s="297">
        <v>1</v>
      </c>
      <c r="G827" s="107">
        <f>ROUND(G826/(G826+H826+I826),5)</f>
        <v>0</v>
      </c>
      <c r="H827" s="106">
        <f>ROUND(H826/(G826+H826+I826),5)</f>
        <v>0</v>
      </c>
      <c r="I827" s="117">
        <f>ROUND(I826/(G826+H826+I826),5)</f>
        <v>1</v>
      </c>
      <c r="J827" s="107">
        <f t="shared" si="213"/>
        <v>1</v>
      </c>
      <c r="K827" s="106">
        <f t="shared" si="214"/>
        <v>0</v>
      </c>
      <c r="L827" s="297">
        <v>1</v>
      </c>
    </row>
    <row r="828" spans="1:12">
      <c r="A828" s="12">
        <v>16</v>
      </c>
      <c r="B828" s="3"/>
      <c r="C828" s="94" t="s">
        <v>177</v>
      </c>
      <c r="D828" s="105" t="s">
        <v>157</v>
      </c>
      <c r="E828" s="13"/>
      <c r="F828" s="296">
        <f>'[2]WP FR-16(7)(v) Wtd services'!H38</f>
        <v>141934</v>
      </c>
      <c r="G828" s="102">
        <v>0</v>
      </c>
      <c r="H828" s="101">
        <v>0</v>
      </c>
      <c r="I828" s="112">
        <f>'[2]WP FR-16(7)(v) Wtd services'!H38</f>
        <v>141934</v>
      </c>
      <c r="J828" s="102">
        <f t="shared" si="213"/>
        <v>141934</v>
      </c>
      <c r="K828" s="101">
        <f t="shared" si="214"/>
        <v>0</v>
      </c>
      <c r="L828" s="296">
        <v>141934</v>
      </c>
    </row>
    <row r="829" spans="1:12">
      <c r="A829" s="12">
        <v>17</v>
      </c>
      <c r="B829" s="32"/>
      <c r="C829" s="82" t="s">
        <v>149</v>
      </c>
      <c r="D829" s="6"/>
      <c r="E829" s="26" t="s">
        <v>176</v>
      </c>
      <c r="F829" s="297">
        <v>1</v>
      </c>
      <c r="G829" s="99">
        <f>ROUND(G828/(G828+H828+I828),5)</f>
        <v>0</v>
      </c>
      <c r="H829" s="9">
        <f>ROUND(H828/(G828+H828+I828),5)</f>
        <v>0</v>
      </c>
      <c r="I829" s="100">
        <f>ROUND(I828/(G828+H828+I828),5)</f>
        <v>1</v>
      </c>
      <c r="J829" s="99">
        <f t="shared" si="213"/>
        <v>1</v>
      </c>
      <c r="K829" s="9">
        <f t="shared" si="214"/>
        <v>0</v>
      </c>
      <c r="L829" s="297">
        <v>1</v>
      </c>
    </row>
    <row r="830" spans="1:12">
      <c r="A830" s="109">
        <v>18</v>
      </c>
      <c r="B830" s="115"/>
      <c r="C830" s="94" t="s">
        <v>175</v>
      </c>
      <c r="D830" s="105" t="s">
        <v>157</v>
      </c>
      <c r="E830" s="114"/>
      <c r="F830" s="296">
        <f>'[2]WP FR-16(7)(v)-KW &amp; KWH @Gen'!F38</f>
        <v>4196163573</v>
      </c>
      <c r="G830" s="118">
        <f>'[2]WP FR-16(7)(v)-KW &amp; KWH @Gen'!F38</f>
        <v>4196163573</v>
      </c>
      <c r="H830" s="110">
        <v>0</v>
      </c>
      <c r="I830" s="121">
        <v>0</v>
      </c>
      <c r="J830" s="118">
        <f t="shared" si="213"/>
        <v>4196163573</v>
      </c>
      <c r="K830" s="110">
        <f t="shared" si="214"/>
        <v>0</v>
      </c>
      <c r="L830" s="296">
        <v>4196163573</v>
      </c>
    </row>
    <row r="831" spans="1:12">
      <c r="A831" s="109">
        <v>19</v>
      </c>
      <c r="B831" s="108"/>
      <c r="C831" s="82" t="s">
        <v>149</v>
      </c>
      <c r="D831" s="6"/>
      <c r="E831" s="26" t="s">
        <v>7</v>
      </c>
      <c r="F831" s="297">
        <v>1</v>
      </c>
      <c r="G831" s="107">
        <f>ROUND(G830/(G830+H830+I830),5)</f>
        <v>1</v>
      </c>
      <c r="H831" s="106">
        <f>ROUND(H830/(G830+H830+I830),5)</f>
        <v>0</v>
      </c>
      <c r="I831" s="117">
        <f>ROUND(I830/(G830+H830+I830),5)</f>
        <v>0</v>
      </c>
      <c r="J831" s="107">
        <f t="shared" si="213"/>
        <v>1</v>
      </c>
      <c r="K831" s="106">
        <f t="shared" si="214"/>
        <v>0</v>
      </c>
      <c r="L831" s="297">
        <v>1</v>
      </c>
    </row>
    <row r="832" spans="1:12">
      <c r="A832" s="12">
        <v>20</v>
      </c>
      <c r="B832" s="3"/>
      <c r="C832" s="94" t="s">
        <v>174</v>
      </c>
      <c r="D832" s="105" t="s">
        <v>157</v>
      </c>
      <c r="E832" s="13"/>
      <c r="F832" s="296">
        <f>'[2]WP FR-16(7)(v)-KW &amp; KWH @Dist'!F39</f>
        <v>4196163573</v>
      </c>
      <c r="G832" s="102">
        <v>0</v>
      </c>
      <c r="H832" s="101">
        <v>0</v>
      </c>
      <c r="I832" s="122">
        <f>'[2]WP FR-16(7)(v)-KW &amp; KWH @Dist'!F39</f>
        <v>4196163573</v>
      </c>
      <c r="J832" s="104">
        <f t="shared" si="213"/>
        <v>4196163573</v>
      </c>
      <c r="K832" s="101">
        <f t="shared" si="214"/>
        <v>0</v>
      </c>
      <c r="L832" s="296">
        <v>4196163573</v>
      </c>
    </row>
    <row r="833" spans="1:13" s="2" customFormat="1">
      <c r="A833" s="12">
        <v>21</v>
      </c>
      <c r="B833" s="32"/>
      <c r="C833" s="82" t="s">
        <v>149</v>
      </c>
      <c r="D833" s="6"/>
      <c r="E833" s="26" t="s">
        <v>173</v>
      </c>
      <c r="F833" s="297">
        <v>1</v>
      </c>
      <c r="G833" s="99">
        <f>ROUND(G832/(G832+H832+I832),5)</f>
        <v>0</v>
      </c>
      <c r="H833" s="9">
        <f>ROUND(H832/(G832+H832+I832),5)</f>
        <v>0</v>
      </c>
      <c r="I833" s="100">
        <f>ROUND(I832/(G832+H832+I832),5)</f>
        <v>1</v>
      </c>
      <c r="J833" s="99">
        <f t="shared" si="213"/>
        <v>1</v>
      </c>
      <c r="K833" s="9">
        <f t="shared" si="214"/>
        <v>0</v>
      </c>
      <c r="L833" s="297">
        <v>1</v>
      </c>
      <c r="M833" s="308"/>
    </row>
    <row r="834" spans="1:13" s="2" customFormat="1">
      <c r="A834" s="109">
        <v>22</v>
      </c>
      <c r="B834" s="115"/>
      <c r="C834" s="94" t="s">
        <v>172</v>
      </c>
      <c r="D834" s="105" t="s">
        <v>157</v>
      </c>
      <c r="E834" s="114"/>
      <c r="F834" s="296">
        <f>'[2]WP FR-16(7)(v)-KW &amp; KWH @Gen'!F38-'[2]WP FR-16(7)(v)-KW &amp; KWH @Gen'!F26</f>
        <v>4176422231</v>
      </c>
      <c r="G834" s="118">
        <f>'[2]WP FR-16(7)(v)-KW &amp; KWH @Gen'!F38-'[2]WP FR-16(7)(v)-KW &amp; KWH @Gen'!F26</f>
        <v>4176422231</v>
      </c>
      <c r="H834" s="110">
        <v>0</v>
      </c>
      <c r="I834" s="121">
        <v>0</v>
      </c>
      <c r="J834" s="118">
        <f t="shared" si="213"/>
        <v>4176422231</v>
      </c>
      <c r="K834" s="110">
        <f t="shared" si="214"/>
        <v>0</v>
      </c>
      <c r="L834" s="296">
        <v>4176422231</v>
      </c>
      <c r="M834" s="308"/>
    </row>
    <row r="835" spans="1:13" s="2" customFormat="1">
      <c r="A835" s="109">
        <v>23</v>
      </c>
      <c r="B835" s="108"/>
      <c r="C835" s="82" t="s">
        <v>149</v>
      </c>
      <c r="D835" s="6"/>
      <c r="E835" s="26" t="s">
        <v>171</v>
      </c>
      <c r="F835" s="297">
        <v>1</v>
      </c>
      <c r="G835" s="107">
        <f>ROUND(G834/(G834+H834+I834),5)</f>
        <v>1</v>
      </c>
      <c r="H835" s="106">
        <f>ROUND(H834/(G834+H834+I834),5)</f>
        <v>0</v>
      </c>
      <c r="I835" s="117">
        <f>ROUND(I834/(G834+H834+I834),5)</f>
        <v>0</v>
      </c>
      <c r="J835" s="107">
        <f t="shared" si="213"/>
        <v>1</v>
      </c>
      <c r="K835" s="106">
        <f t="shared" si="214"/>
        <v>0</v>
      </c>
      <c r="L835" s="297">
        <v>1</v>
      </c>
      <c r="M835" s="308"/>
    </row>
    <row r="836" spans="1:13" s="2" customFormat="1">
      <c r="A836" s="12">
        <v>24</v>
      </c>
      <c r="B836" s="3"/>
      <c r="C836" s="94" t="s">
        <v>170</v>
      </c>
      <c r="D836" s="105" t="s">
        <v>157</v>
      </c>
      <c r="E836" s="13"/>
      <c r="F836" s="296">
        <v>1</v>
      </c>
      <c r="G836" s="102">
        <v>0</v>
      </c>
      <c r="H836" s="101">
        <v>0</v>
      </c>
      <c r="I836" s="112">
        <v>1</v>
      </c>
      <c r="J836" s="104">
        <f t="shared" si="213"/>
        <v>1</v>
      </c>
      <c r="K836" s="101">
        <f t="shared" si="214"/>
        <v>0</v>
      </c>
      <c r="L836" s="296">
        <v>1</v>
      </c>
      <c r="M836" s="308"/>
    </row>
    <row r="837" spans="1:13" s="2" customFormat="1">
      <c r="A837" s="12">
        <v>25</v>
      </c>
      <c r="B837" s="32"/>
      <c r="C837" s="82" t="s">
        <v>149</v>
      </c>
      <c r="D837" s="6"/>
      <c r="E837" s="26" t="s">
        <v>169</v>
      </c>
      <c r="F837" s="297">
        <v>1</v>
      </c>
      <c r="G837" s="99">
        <f>ROUND(G836/(G836+H836+I836),5)</f>
        <v>0</v>
      </c>
      <c r="H837" s="9">
        <f>ROUND(H836/(G836+H836+I836),5)</f>
        <v>0</v>
      </c>
      <c r="I837" s="100">
        <f>ROUND(I836/(G836+H836+I836),5)</f>
        <v>1</v>
      </c>
      <c r="J837" s="99">
        <f t="shared" si="213"/>
        <v>1</v>
      </c>
      <c r="K837" s="9">
        <f t="shared" si="214"/>
        <v>0</v>
      </c>
      <c r="L837" s="297">
        <v>1</v>
      </c>
      <c r="M837" s="308"/>
    </row>
    <row r="838" spans="1:13" s="2" customFormat="1">
      <c r="A838" s="109">
        <v>26</v>
      </c>
      <c r="B838" s="115"/>
      <c r="C838" s="94" t="s">
        <v>168</v>
      </c>
      <c r="D838" s="105" t="s">
        <v>157</v>
      </c>
      <c r="E838" s="114"/>
      <c r="F838" s="296">
        <v>1</v>
      </c>
      <c r="G838" s="111">
        <v>0</v>
      </c>
      <c r="H838" s="110">
        <v>0</v>
      </c>
      <c r="I838" s="119">
        <v>1</v>
      </c>
      <c r="J838" s="118">
        <f t="shared" si="213"/>
        <v>1</v>
      </c>
      <c r="K838" s="110">
        <f t="shared" si="214"/>
        <v>0</v>
      </c>
      <c r="L838" s="296">
        <v>1</v>
      </c>
      <c r="M838" s="308"/>
    </row>
    <row r="839" spans="1:13" s="2" customFormat="1">
      <c r="A839" s="109">
        <v>27</v>
      </c>
      <c r="B839" s="108"/>
      <c r="C839" s="82" t="s">
        <v>149</v>
      </c>
      <c r="D839" s="6"/>
      <c r="E839" s="26" t="s">
        <v>167</v>
      </c>
      <c r="F839" s="297">
        <v>1</v>
      </c>
      <c r="G839" s="107">
        <f>ROUND(G838/(G838+H838+I838),5)</f>
        <v>0</v>
      </c>
      <c r="H839" s="106">
        <f>ROUND(H838/(G838+H838+I838),5)</f>
        <v>0</v>
      </c>
      <c r="I839" s="117">
        <f>ROUND(I838/(G838+H838+I838),5)</f>
        <v>1</v>
      </c>
      <c r="J839" s="107">
        <f t="shared" si="213"/>
        <v>1</v>
      </c>
      <c r="K839" s="106">
        <f t="shared" si="214"/>
        <v>0</v>
      </c>
      <c r="L839" s="297">
        <v>1</v>
      </c>
      <c r="M839" s="308"/>
    </row>
    <row r="840" spans="1:13" s="2" customFormat="1">
      <c r="A840" s="12">
        <v>28</v>
      </c>
      <c r="B840" s="3"/>
      <c r="C840" s="94" t="s">
        <v>166</v>
      </c>
      <c r="D840" s="105" t="s">
        <v>157</v>
      </c>
      <c r="E840" s="13"/>
      <c r="F840" s="296">
        <f>'[2]WP FR-16(7)(v)-KW &amp; KWH @Dist'!H39</f>
        <v>140014</v>
      </c>
      <c r="G840" s="102">
        <v>0</v>
      </c>
      <c r="H840" s="101">
        <v>0</v>
      </c>
      <c r="I840" s="112">
        <f>'[2]WP FR-16(7)(v)-KW &amp; KWH @Dist'!H39</f>
        <v>140014</v>
      </c>
      <c r="J840" s="102">
        <f t="shared" si="213"/>
        <v>140014</v>
      </c>
      <c r="K840" s="101">
        <f t="shared" si="214"/>
        <v>0</v>
      </c>
      <c r="L840" s="296">
        <v>140014</v>
      </c>
      <c r="M840" s="308"/>
    </row>
    <row r="841" spans="1:13" s="2" customFormat="1">
      <c r="A841" s="12">
        <v>29</v>
      </c>
      <c r="B841" s="32"/>
      <c r="C841" s="82" t="s">
        <v>149</v>
      </c>
      <c r="D841" s="6"/>
      <c r="E841" s="26" t="s">
        <v>165</v>
      </c>
      <c r="F841" s="297">
        <v>1</v>
      </c>
      <c r="G841" s="99">
        <f>ROUND(G840/(G840+H840+I840),5)</f>
        <v>0</v>
      </c>
      <c r="H841" s="9">
        <f>ROUND(H840/(G840+H840+I840),5)</f>
        <v>0</v>
      </c>
      <c r="I841" s="100">
        <f>ROUND(I840/(G840+H840+I840),5)</f>
        <v>1</v>
      </c>
      <c r="J841" s="99">
        <f t="shared" si="213"/>
        <v>1</v>
      </c>
      <c r="K841" s="9">
        <f t="shared" si="214"/>
        <v>0</v>
      </c>
      <c r="L841" s="297">
        <v>1</v>
      </c>
      <c r="M841" s="308"/>
    </row>
    <row r="842" spans="1:13" s="2" customFormat="1">
      <c r="A842" s="109">
        <v>30</v>
      </c>
      <c r="B842" s="115"/>
      <c r="C842" s="94" t="s">
        <v>164</v>
      </c>
      <c r="D842" s="105" t="s">
        <v>157</v>
      </c>
      <c r="E842" s="114"/>
      <c r="F842" s="296">
        <f>'[2]WP FR-16(7)(v) Meters'!E40</f>
        <v>6350638</v>
      </c>
      <c r="G842" s="111">
        <v>0</v>
      </c>
      <c r="H842" s="120">
        <f>'[2]WP FR-16(7)(v) Meters'!E27</f>
        <v>16048</v>
      </c>
      <c r="I842" s="119">
        <f>'[2]WP FR-16(7)(v) Meters'!E40-H842</f>
        <v>6334590</v>
      </c>
      <c r="J842" s="118">
        <f t="shared" si="213"/>
        <v>6350638</v>
      </c>
      <c r="K842" s="110">
        <f t="shared" si="214"/>
        <v>0</v>
      </c>
      <c r="L842" s="296">
        <v>6350638</v>
      </c>
      <c r="M842" s="308"/>
    </row>
    <row r="843" spans="1:13" s="2" customFormat="1">
      <c r="A843" s="109">
        <v>31</v>
      </c>
      <c r="B843" s="108"/>
      <c r="C843" s="82" t="s">
        <v>149</v>
      </c>
      <c r="D843" s="6"/>
      <c r="E843" s="26" t="s">
        <v>163</v>
      </c>
      <c r="F843" s="297">
        <v>1</v>
      </c>
      <c r="G843" s="107">
        <f>ROUND(G842/(G842+H842+I842),5)</f>
        <v>0</v>
      </c>
      <c r="H843" s="106">
        <f>ROUND(H842/(G842+H842+I842),5)</f>
        <v>2.5300000000000001E-3</v>
      </c>
      <c r="I843" s="117">
        <f>ROUND(I842/(G842+H842+I842),5)</f>
        <v>0.99746999999999997</v>
      </c>
      <c r="J843" s="107">
        <f t="shared" si="213"/>
        <v>1</v>
      </c>
      <c r="K843" s="106">
        <f t="shared" si="214"/>
        <v>0</v>
      </c>
      <c r="L843" s="297">
        <v>1</v>
      </c>
      <c r="M843" s="308"/>
    </row>
    <row r="844" spans="1:13" s="2" customFormat="1">
      <c r="A844" s="12">
        <v>32</v>
      </c>
      <c r="B844" s="116"/>
      <c r="C844" s="94" t="s">
        <v>162</v>
      </c>
      <c r="D844" s="105" t="s">
        <v>157</v>
      </c>
      <c r="E844" s="47"/>
      <c r="F844" s="298">
        <f>'[2]WP FR-16(7)(v) Meters'!H40</f>
        <v>243058</v>
      </c>
      <c r="G844" s="102">
        <v>0</v>
      </c>
      <c r="H844" s="101">
        <v>0</v>
      </c>
      <c r="I844" s="112">
        <f>F844</f>
        <v>243058</v>
      </c>
      <c r="J844" s="104">
        <f t="shared" si="213"/>
        <v>243058</v>
      </c>
      <c r="K844" s="101">
        <f t="shared" si="214"/>
        <v>0</v>
      </c>
      <c r="L844" s="298">
        <v>243058</v>
      </c>
      <c r="M844" s="308"/>
    </row>
    <row r="845" spans="1:13" s="2" customFormat="1">
      <c r="A845" s="12">
        <v>33</v>
      </c>
      <c r="B845" s="32"/>
      <c r="C845" s="82" t="s">
        <v>149</v>
      </c>
      <c r="D845" s="6"/>
      <c r="E845" s="26" t="s">
        <v>161</v>
      </c>
      <c r="F845" s="299">
        <v>1</v>
      </c>
      <c r="G845" s="99">
        <f>ROUND(G844/(G844+H844+I844),5)</f>
        <v>0</v>
      </c>
      <c r="H845" s="9">
        <f>ROUND(H844/(G844+H844+I844),5)</f>
        <v>0</v>
      </c>
      <c r="I845" s="100">
        <f>ROUND(I844/(G844+H844+I844),5)</f>
        <v>1</v>
      </c>
      <c r="J845" s="99">
        <f t="shared" si="213"/>
        <v>1</v>
      </c>
      <c r="K845" s="9">
        <f t="shared" si="214"/>
        <v>0</v>
      </c>
      <c r="L845" s="299">
        <v>1</v>
      </c>
      <c r="M845" s="308"/>
    </row>
    <row r="846" spans="1:13" s="2" customFormat="1">
      <c r="A846" s="109">
        <v>34</v>
      </c>
      <c r="B846" s="115"/>
      <c r="C846" s="94" t="s">
        <v>160</v>
      </c>
      <c r="D846" s="105" t="s">
        <v>157</v>
      </c>
      <c r="E846" s="114"/>
      <c r="F846" s="296">
        <f>'[2]WP FR-16(7)(v) CustAcct'!G31</f>
        <v>1498164.3299999998</v>
      </c>
      <c r="G846" s="102">
        <v>0</v>
      </c>
      <c r="H846" s="113">
        <f>'[2]WP FR-16(7)(v) CustAcct'!G26</f>
        <v>9153</v>
      </c>
      <c r="I846" s="112">
        <f>F846-H846</f>
        <v>1489011.3299999998</v>
      </c>
      <c r="J846" s="111">
        <f t="shared" si="213"/>
        <v>1498164.3299999998</v>
      </c>
      <c r="K846" s="110">
        <f t="shared" si="214"/>
        <v>0</v>
      </c>
      <c r="L846" s="296">
        <v>1498164.3299999998</v>
      </c>
      <c r="M846" s="308"/>
    </row>
    <row r="847" spans="1:13" s="2" customFormat="1">
      <c r="A847" s="109">
        <v>35</v>
      </c>
      <c r="B847" s="108"/>
      <c r="C847" s="82" t="s">
        <v>149</v>
      </c>
      <c r="D847" s="6"/>
      <c r="E847" s="26" t="s">
        <v>159</v>
      </c>
      <c r="F847" s="297">
        <v>1</v>
      </c>
      <c r="G847" s="99">
        <f>ROUND(G846/(G846+H846+I846),5)</f>
        <v>0</v>
      </c>
      <c r="H847" s="9">
        <f>ROUND(H846/(G846+H846+I846),5)</f>
        <v>6.11E-3</v>
      </c>
      <c r="I847" s="100">
        <f>ROUND(I846/(G846+H846+I846),5)</f>
        <v>0.99389000000000005</v>
      </c>
      <c r="J847" s="107">
        <f t="shared" si="213"/>
        <v>1</v>
      </c>
      <c r="K847" s="106">
        <f t="shared" si="214"/>
        <v>0</v>
      </c>
      <c r="L847" s="297">
        <v>1</v>
      </c>
      <c r="M847" s="308"/>
    </row>
    <row r="848" spans="1:13" s="2" customFormat="1">
      <c r="A848" s="12">
        <v>36</v>
      </c>
      <c r="B848" s="38"/>
      <c r="C848" s="94" t="s">
        <v>158</v>
      </c>
      <c r="D848" s="105" t="s">
        <v>157</v>
      </c>
      <c r="E848" s="81"/>
      <c r="F848" s="296">
        <f>'[2]WP FR-16(7)(v)-KW &amp; KWH @Gen'!F28</f>
        <v>4178319049</v>
      </c>
      <c r="G848" s="104">
        <f>'[2]WP FR-16(7)(v)-KW &amp; KWH @Gen'!F28</f>
        <v>4178319049</v>
      </c>
      <c r="H848" s="101">
        <v>0</v>
      </c>
      <c r="I848" s="103">
        <v>0</v>
      </c>
      <c r="J848" s="102">
        <f t="shared" si="213"/>
        <v>4178319049</v>
      </c>
      <c r="K848" s="101">
        <f t="shared" si="214"/>
        <v>0</v>
      </c>
      <c r="L848" s="296">
        <v>4178319049</v>
      </c>
      <c r="M848" s="308"/>
    </row>
    <row r="849" spans="1:14">
      <c r="A849" s="12">
        <v>37</v>
      </c>
      <c r="B849" s="38"/>
      <c r="C849" s="82" t="s">
        <v>149</v>
      </c>
      <c r="D849" s="6"/>
      <c r="E849" s="26" t="s">
        <v>156</v>
      </c>
      <c r="F849" s="297">
        <v>1</v>
      </c>
      <c r="G849" s="99">
        <f>ROUND(G848/(G848+H848+I848),5)</f>
        <v>1</v>
      </c>
      <c r="H849" s="9">
        <f>ROUND(H848/(G848+H848+I848),5)</f>
        <v>0</v>
      </c>
      <c r="I849" s="100">
        <f>ROUND(I848/(G848+H848+I848),5)</f>
        <v>0</v>
      </c>
      <c r="J849" s="99">
        <f t="shared" si="213"/>
        <v>1</v>
      </c>
      <c r="K849" s="9">
        <f t="shared" si="214"/>
        <v>0</v>
      </c>
      <c r="L849" s="297">
        <v>1</v>
      </c>
    </row>
    <row r="850" spans="1:14">
      <c r="A850" s="12">
        <v>38</v>
      </c>
      <c r="B850" s="38"/>
      <c r="C850" s="38"/>
      <c r="D850" s="98"/>
      <c r="E850" s="4"/>
      <c r="G850" s="96"/>
      <c r="H850" s="38"/>
      <c r="I850" s="97"/>
      <c r="J850" s="96"/>
      <c r="K850" s="38"/>
    </row>
    <row r="851" spans="1:14">
      <c r="A851" s="12">
        <v>39</v>
      </c>
      <c r="B851" s="3"/>
      <c r="C851" s="94" t="s">
        <v>152</v>
      </c>
      <c r="D851" s="13" t="s">
        <v>17</v>
      </c>
      <c r="E851" s="93" t="s">
        <v>155</v>
      </c>
      <c r="F851" s="296">
        <f>'[2]FR-16(7)(v)-3 PROD Demand'!F865</f>
        <v>304312778</v>
      </c>
      <c r="G851" s="89">
        <f>F851-H851-I851</f>
        <v>226218745</v>
      </c>
      <c r="H851" s="33">
        <f>ROUND(F851*VLOOKUP(D851,ALLOCTABLE_FUNCTIONAL,$H$10,FALSE),0)</f>
        <v>24321663</v>
      </c>
      <c r="I851" s="95">
        <f>ROUND(F851*VLOOKUP(D851,ALLOCTABLE_FUNCTIONAL,$I$10,FALSE),0)</f>
        <v>53772370</v>
      </c>
      <c r="J851" s="89">
        <f>SUM(G851:I851)</f>
        <v>304312778</v>
      </c>
      <c r="K851" s="33">
        <f>F851-J851</f>
        <v>0</v>
      </c>
      <c r="L851" s="296">
        <v>304312778</v>
      </c>
      <c r="N851" s="88"/>
    </row>
    <row r="852" spans="1:14">
      <c r="A852" s="12">
        <v>40</v>
      </c>
      <c r="B852" s="3"/>
      <c r="C852" s="94" t="s">
        <v>150</v>
      </c>
      <c r="D852" s="13" t="s">
        <v>5</v>
      </c>
      <c r="E852" s="93" t="s">
        <v>154</v>
      </c>
      <c r="F852" s="296">
        <f>'[2]FR-16(7)(v)-3 PROD Demand'!F867</f>
        <v>304312778</v>
      </c>
      <c r="G852" s="92">
        <f>F852-H852-I852</f>
        <v>178680291</v>
      </c>
      <c r="H852" s="91">
        <f>ROUND(F852*VLOOKUP(D852,ALLOCTABLE_FUNCTIONAL,$H$10,FALSE),0)</f>
        <v>16082930</v>
      </c>
      <c r="I852" s="90">
        <f>ROUND(F852*VLOOKUP(D852,ALLOCTABLE_FUNCTIONAL,$I$10,FALSE),0)</f>
        <v>109549557</v>
      </c>
      <c r="J852" s="89">
        <f>SUM(G852:I852)</f>
        <v>304312778</v>
      </c>
      <c r="K852" s="33">
        <f>F852-J852</f>
        <v>0</v>
      </c>
      <c r="L852" s="296">
        <v>304312778</v>
      </c>
      <c r="N852" s="88"/>
    </row>
    <row r="853" spans="1:14">
      <c r="E853" s="4"/>
      <c r="F853" s="300"/>
      <c r="L853" s="300"/>
    </row>
    <row r="854" spans="1:14">
      <c r="A854" s="67" t="str">
        <f>co_name</f>
        <v>DUKE ENERGY KENTUCKY, INC.</v>
      </c>
      <c r="C854" s="32"/>
      <c r="D854" s="12"/>
      <c r="E854" s="32"/>
      <c r="F854" s="253"/>
      <c r="G854" s="27"/>
      <c r="H854" s="27"/>
      <c r="I854" s="27"/>
      <c r="J854" s="27" t="str">
        <f>J1</f>
        <v>FR-16(7)(v)-1</v>
      </c>
      <c r="K854" s="27"/>
      <c r="L854" s="253"/>
      <c r="N854" s="86"/>
    </row>
    <row r="855" spans="1:14">
      <c r="A855" s="67" t="str">
        <f>$A$2</f>
        <v>FUNCTIONAL ELECTRIC COST OF SERVICE</v>
      </c>
      <c r="C855" s="32"/>
      <c r="D855" s="12"/>
      <c r="E855" s="32"/>
      <c r="F855" s="253"/>
      <c r="G855" s="27"/>
      <c r="H855" s="27"/>
      <c r="I855" s="27"/>
      <c r="J855" s="27" t="str">
        <f>J2</f>
        <v>WITNESS RESPONSIBLE:</v>
      </c>
      <c r="K855" s="27"/>
      <c r="L855" s="253"/>
      <c r="N855" s="85"/>
    </row>
    <row r="856" spans="1:14">
      <c r="A856" s="67" t="str">
        <f>case_name</f>
        <v>CASE NO: 2017-00321</v>
      </c>
      <c r="C856" s="32"/>
      <c r="D856" s="12"/>
      <c r="E856" s="32"/>
      <c r="F856" s="253"/>
      <c r="G856" s="27"/>
      <c r="H856" s="27"/>
      <c r="I856" s="27"/>
      <c r="J856" s="27" t="str">
        <f>Witness</f>
        <v>JAMES E. ZIOLKOWSKI</v>
      </c>
      <c r="K856" s="27"/>
      <c r="L856" s="253"/>
      <c r="N856" s="85"/>
    </row>
    <row r="857" spans="1:14">
      <c r="A857" s="67" t="str">
        <f>data_filing</f>
        <v>DATA: 12 MONTHS ACTUAL  &amp; 0 MONTHS ESTIMATED</v>
      </c>
      <c r="C857" s="32"/>
      <c r="D857" s="12"/>
      <c r="E857" s="32"/>
      <c r="F857" s="253"/>
      <c r="G857" s="27"/>
      <c r="H857" s="27"/>
      <c r="I857" s="27"/>
      <c r="J857" s="27" t="str">
        <f>"PAGE "&amp;Pages-1&amp;" OF "&amp;Pages</f>
        <v>PAGE 17 OF 18</v>
      </c>
      <c r="K857" s="27"/>
      <c r="L857" s="253"/>
      <c r="N857" s="85"/>
    </row>
    <row r="858" spans="1:14">
      <c r="A858" s="67" t="str">
        <f>type</f>
        <v xml:space="preserve">TYPE OF FILING: "X" ORIGINAL   UPDATED    REVISED  </v>
      </c>
      <c r="C858" s="32"/>
      <c r="D858" s="12"/>
      <c r="E858" s="32"/>
      <c r="F858" s="253"/>
      <c r="G858" s="27"/>
      <c r="H858" s="27"/>
      <c r="I858" s="27"/>
      <c r="J858" s="27"/>
      <c r="K858" s="27"/>
      <c r="L858" s="253"/>
      <c r="N858" s="85"/>
    </row>
    <row r="859" spans="1:14">
      <c r="B859" s="27"/>
      <c r="E859" s="4"/>
      <c r="G859" s="38"/>
      <c r="H859" s="38"/>
      <c r="I859" s="38"/>
      <c r="N859" s="85"/>
    </row>
    <row r="860" spans="1:14">
      <c r="B860" s="27"/>
      <c r="E860" s="4"/>
      <c r="G860" s="38"/>
      <c r="H860" s="38"/>
      <c r="I860" s="38"/>
      <c r="N860" s="85"/>
    </row>
    <row r="861" spans="1:14">
      <c r="A861" s="8" t="s">
        <v>91</v>
      </c>
      <c r="B861" s="27"/>
      <c r="C861" s="32"/>
      <c r="D861" s="12"/>
      <c r="E861" s="12"/>
      <c r="F861" s="293" t="s">
        <v>1</v>
      </c>
      <c r="G861" s="66" t="s">
        <v>90</v>
      </c>
      <c r="H861" s="65"/>
      <c r="I861" s="64"/>
      <c r="J861" s="8" t="s">
        <v>1</v>
      </c>
      <c r="K861" s="8" t="s">
        <v>89</v>
      </c>
      <c r="L861" s="293" t="s">
        <v>1</v>
      </c>
    </row>
    <row r="862" spans="1:14">
      <c r="A862" s="57" t="s">
        <v>88</v>
      </c>
      <c r="B862" s="63" t="s">
        <v>87</v>
      </c>
      <c r="C862" s="62"/>
      <c r="D862" s="61" t="s">
        <v>86</v>
      </c>
      <c r="E862" s="61" t="s">
        <v>85</v>
      </c>
      <c r="F862" s="285" t="str">
        <f>$F$9</f>
        <v>ELECTRIC</v>
      </c>
      <c r="G862" s="60" t="str">
        <f t="shared" ref="G862:I863" si="215">G9</f>
        <v>PRODUCTION</v>
      </c>
      <c r="H862" s="59" t="str">
        <f t="shared" si="215"/>
        <v>TRANSMISSION</v>
      </c>
      <c r="I862" s="58" t="str">
        <f t="shared" si="215"/>
        <v>DISTRIBUTION</v>
      </c>
      <c r="J862" s="57" t="s">
        <v>84</v>
      </c>
      <c r="K862" s="57" t="s">
        <v>83</v>
      </c>
      <c r="L862" s="285" t="s">
        <v>82</v>
      </c>
    </row>
    <row r="863" spans="1:14">
      <c r="C863" s="55" t="s">
        <v>153</v>
      </c>
      <c r="E863" s="51">
        <v>1</v>
      </c>
      <c r="F863" s="301">
        <v>2</v>
      </c>
      <c r="G863" s="54">
        <f t="shared" si="215"/>
        <v>3</v>
      </c>
      <c r="H863" s="53">
        <f t="shared" si="215"/>
        <v>4</v>
      </c>
      <c r="I863" s="52">
        <f t="shared" si="215"/>
        <v>5</v>
      </c>
      <c r="L863" s="301">
        <v>2</v>
      </c>
    </row>
    <row r="864" spans="1:14">
      <c r="C864" s="55"/>
      <c r="E864" s="51"/>
      <c r="F864" s="301"/>
      <c r="G864" s="54"/>
      <c r="H864" s="53"/>
      <c r="I864" s="52"/>
      <c r="L864" s="301"/>
    </row>
    <row r="865" spans="1:13" s="2" customFormat="1">
      <c r="A865" s="8">
        <v>1</v>
      </c>
      <c r="B865" s="84"/>
      <c r="C865" s="83" t="s">
        <v>152</v>
      </c>
      <c r="D865" s="22" t="s">
        <v>14</v>
      </c>
      <c r="E865" s="13"/>
      <c r="F865" s="298">
        <f>F851</f>
        <v>304312778</v>
      </c>
      <c r="G865" s="36">
        <f>G851</f>
        <v>226218745</v>
      </c>
      <c r="H865" s="35">
        <f>H851</f>
        <v>24321663</v>
      </c>
      <c r="I865" s="34">
        <f>I851</f>
        <v>53772370</v>
      </c>
      <c r="J865" s="33">
        <f>SUM(G865:I865)</f>
        <v>304312778</v>
      </c>
      <c r="K865" s="33">
        <f>F865-J865</f>
        <v>0</v>
      </c>
      <c r="L865" s="298">
        <v>304312778</v>
      </c>
      <c r="M865" s="308"/>
    </row>
    <row r="866" spans="1:13" s="2" customFormat="1">
      <c r="A866" s="8">
        <v>2</v>
      </c>
      <c r="B866" s="27"/>
      <c r="C866" s="82" t="s">
        <v>149</v>
      </c>
      <c r="D866" s="6"/>
      <c r="E866" s="26" t="s">
        <v>151</v>
      </c>
      <c r="F866" s="297">
        <v>1</v>
      </c>
      <c r="G866" s="30">
        <f>ROUND(G865/(G865+H865+I865),5)</f>
        <v>0.74338000000000004</v>
      </c>
      <c r="H866" s="29">
        <f>ROUND(H865/(G865+H865+I865),5)</f>
        <v>7.9920000000000005E-2</v>
      </c>
      <c r="I866" s="28">
        <f>ROUND(I865/(G865+H865+I865),5)</f>
        <v>0.1767</v>
      </c>
      <c r="J866" s="9">
        <f>SUM(G866:I866)</f>
        <v>1</v>
      </c>
      <c r="K866" s="9">
        <f>F866-J866</f>
        <v>0</v>
      </c>
      <c r="L866" s="297">
        <v>1</v>
      </c>
      <c r="M866" s="308"/>
    </row>
    <row r="867" spans="1:13" s="2" customFormat="1">
      <c r="A867" s="8">
        <v>3</v>
      </c>
      <c r="B867" s="1"/>
      <c r="C867" s="83" t="s">
        <v>150</v>
      </c>
      <c r="D867" s="22" t="s">
        <v>14</v>
      </c>
      <c r="E867" s="13"/>
      <c r="F867" s="298">
        <f>F852</f>
        <v>304312778</v>
      </c>
      <c r="G867" s="36">
        <f>G852</f>
        <v>178680291</v>
      </c>
      <c r="H867" s="35">
        <f>H852</f>
        <v>16082930</v>
      </c>
      <c r="I867" s="34">
        <f>I852</f>
        <v>109549557</v>
      </c>
      <c r="J867" s="33">
        <f>SUM(G867:I867)</f>
        <v>304312778</v>
      </c>
      <c r="K867" s="33">
        <f>F867-J867</f>
        <v>0</v>
      </c>
      <c r="L867" s="298">
        <v>304312778</v>
      </c>
      <c r="M867" s="308"/>
    </row>
    <row r="868" spans="1:13" s="2" customFormat="1">
      <c r="A868" s="8">
        <v>4</v>
      </c>
      <c r="B868" s="1"/>
      <c r="C868" s="82" t="s">
        <v>149</v>
      </c>
      <c r="D868" s="6"/>
      <c r="E868" s="26" t="s">
        <v>148</v>
      </c>
      <c r="F868" s="297">
        <v>1</v>
      </c>
      <c r="G868" s="30">
        <f>ROUND(G867/(G867+H867+I867),5)</f>
        <v>0.58716000000000002</v>
      </c>
      <c r="H868" s="29">
        <f>ROUND(H867/(G867+H867+I867),5)</f>
        <v>5.2850000000000001E-2</v>
      </c>
      <c r="I868" s="28">
        <f>ROUND(I867/(G867+H867+I867),5)</f>
        <v>0.35998999999999998</v>
      </c>
      <c r="J868" s="9">
        <f>SUM(G868:I868)</f>
        <v>1</v>
      </c>
      <c r="K868" s="9">
        <f>F868-J868</f>
        <v>0</v>
      </c>
      <c r="L868" s="297">
        <v>1</v>
      </c>
      <c r="M868" s="308"/>
    </row>
    <row r="869" spans="1:13" s="2" customFormat="1">
      <c r="A869" s="8">
        <v>5</v>
      </c>
      <c r="B869" s="1"/>
      <c r="C869" s="3"/>
      <c r="D869" s="4"/>
      <c r="E869" s="81"/>
      <c r="F869" s="286"/>
      <c r="G869" s="41"/>
      <c r="H869" s="40"/>
      <c r="I869" s="39"/>
      <c r="J869" s="38"/>
      <c r="K869" s="38"/>
      <c r="L869" s="286"/>
      <c r="M869" s="308"/>
    </row>
    <row r="870" spans="1:13" s="2" customFormat="1">
      <c r="A870" s="8">
        <v>6</v>
      </c>
      <c r="B870" s="80" t="s">
        <v>147</v>
      </c>
      <c r="C870" s="32"/>
      <c r="D870" s="79"/>
      <c r="E870" s="78"/>
      <c r="F870" s="301"/>
      <c r="G870" s="54"/>
      <c r="H870" s="53"/>
      <c r="I870" s="52"/>
      <c r="J870" s="1"/>
      <c r="K870" s="1"/>
      <c r="L870" s="301"/>
      <c r="M870" s="308"/>
    </row>
    <row r="871" spans="1:13" s="2" customFormat="1">
      <c r="A871" s="8">
        <v>7</v>
      </c>
      <c r="B871" s="50" t="s">
        <v>146</v>
      </c>
      <c r="C871" s="49"/>
      <c r="D871" s="48"/>
      <c r="E871" s="47"/>
      <c r="F871" s="295"/>
      <c r="G871" s="77"/>
      <c r="H871" s="76"/>
      <c r="I871" s="75"/>
      <c r="J871" s="1"/>
      <c r="K871" s="1"/>
      <c r="L871" s="295"/>
      <c r="M871" s="308"/>
    </row>
    <row r="872" spans="1:13" s="2" customFormat="1">
      <c r="A872" s="8">
        <v>8</v>
      </c>
      <c r="B872" s="27"/>
      <c r="C872" s="21" t="s">
        <v>145</v>
      </c>
      <c r="D872" s="22" t="s">
        <v>14</v>
      </c>
      <c r="E872" s="26" t="s">
        <v>144</v>
      </c>
      <c r="F872" s="297">
        <v>1</v>
      </c>
      <c r="G872" s="30">
        <f>ROUND(IF(F46=0,0,G46/F46),5)</f>
        <v>1</v>
      </c>
      <c r="H872" s="29">
        <f>ROUND(IF(F46=0,0,H46/F46),5)</f>
        <v>0</v>
      </c>
      <c r="I872" s="28">
        <f>ROUND(IF(F46=0,0,I46/F46),5)</f>
        <v>0</v>
      </c>
      <c r="J872" s="9">
        <f t="shared" ref="J872:J881" si="216">SUM(G872:I872)</f>
        <v>1</v>
      </c>
      <c r="K872" s="9">
        <f t="shared" ref="K872:K881" si="217">F872-J872</f>
        <v>0</v>
      </c>
      <c r="L872" s="297">
        <v>1</v>
      </c>
      <c r="M872" s="308"/>
    </row>
    <row r="873" spans="1:13" s="2" customFormat="1">
      <c r="A873" s="8">
        <v>9</v>
      </c>
      <c r="B873" s="27"/>
      <c r="C873" s="21" t="s">
        <v>143</v>
      </c>
      <c r="D873" s="22" t="s">
        <v>14</v>
      </c>
      <c r="E873" s="26" t="s">
        <v>142</v>
      </c>
      <c r="F873" s="297">
        <v>1</v>
      </c>
      <c r="G873" s="30">
        <f>ROUND(IF(F52=0,0,G52/F52),5)</f>
        <v>0</v>
      </c>
      <c r="H873" s="29">
        <f>ROUND(IF(F52=0,0,H52/F52),5)</f>
        <v>1</v>
      </c>
      <c r="I873" s="28">
        <f>ROUND(IF(F52=0,0,I52/F52),5)</f>
        <v>0</v>
      </c>
      <c r="J873" s="9">
        <f t="shared" si="216"/>
        <v>1</v>
      </c>
      <c r="K873" s="9">
        <f t="shared" si="217"/>
        <v>0</v>
      </c>
      <c r="L873" s="297">
        <v>1</v>
      </c>
      <c r="M873" s="308"/>
    </row>
    <row r="874" spans="1:13" s="2" customFormat="1">
      <c r="A874" s="8">
        <v>10</v>
      </c>
      <c r="B874" s="27"/>
      <c r="C874" s="21" t="s">
        <v>141</v>
      </c>
      <c r="D874" s="22" t="s">
        <v>14</v>
      </c>
      <c r="E874" s="26" t="s">
        <v>140</v>
      </c>
      <c r="F874" s="297">
        <v>1</v>
      </c>
      <c r="G874" s="30">
        <f>ROUND(IF(F54=0,0,G54/F54),5)</f>
        <v>0.94518999999999997</v>
      </c>
      <c r="H874" s="29">
        <f>ROUND(IF(F54=0,0,H54/F54),5)</f>
        <v>5.4809999999999998E-2</v>
      </c>
      <c r="I874" s="28">
        <f>ROUND(IF(F54=0,0,I54/F54),5)</f>
        <v>0</v>
      </c>
      <c r="J874" s="9">
        <f t="shared" si="216"/>
        <v>1</v>
      </c>
      <c r="K874" s="9">
        <f t="shared" si="217"/>
        <v>0</v>
      </c>
      <c r="L874" s="297">
        <v>1</v>
      </c>
      <c r="M874" s="308"/>
    </row>
    <row r="875" spans="1:13" s="2" customFormat="1">
      <c r="A875" s="8">
        <v>11</v>
      </c>
      <c r="B875" s="27"/>
      <c r="C875" s="21" t="s">
        <v>139</v>
      </c>
      <c r="D875" s="22" t="s">
        <v>14</v>
      </c>
      <c r="E875" s="26" t="s">
        <v>138</v>
      </c>
      <c r="F875" s="297">
        <v>1</v>
      </c>
      <c r="G875" s="30">
        <f>ROUND(IF(F78=0,0,G78/F78),5)</f>
        <v>0</v>
      </c>
      <c r="H875" s="29">
        <f>ROUND(IF(F78=0,0,H78/F78),5)</f>
        <v>1.3999999999999999E-4</v>
      </c>
      <c r="I875" s="28">
        <f>ROUND(IF(F78=0,0,I78/F78),5)</f>
        <v>0.99985999999999997</v>
      </c>
      <c r="J875" s="9">
        <f t="shared" si="216"/>
        <v>1</v>
      </c>
      <c r="K875" s="9">
        <f t="shared" si="217"/>
        <v>0</v>
      </c>
      <c r="L875" s="297">
        <v>1</v>
      </c>
      <c r="M875" s="308"/>
    </row>
    <row r="876" spans="1:13" s="2" customFormat="1">
      <c r="A876" s="8">
        <v>12</v>
      </c>
      <c r="B876" s="27"/>
      <c r="C876" s="21" t="s">
        <v>137</v>
      </c>
      <c r="D876" s="22" t="s">
        <v>14</v>
      </c>
      <c r="E876" s="26" t="s">
        <v>136</v>
      </c>
      <c r="F876" s="297">
        <v>1</v>
      </c>
      <c r="G876" s="30">
        <f>ROUND(IF(F80=0,0,G80/F80),5)</f>
        <v>0</v>
      </c>
      <c r="H876" s="29">
        <f>ROUND(IF(F80=0,0,H80/F80),5)</f>
        <v>0.12252</v>
      </c>
      <c r="I876" s="28">
        <f>ROUND(IF(F80=0,0,I80/F80),5)</f>
        <v>0.87748000000000004</v>
      </c>
      <c r="J876" s="9">
        <f t="shared" si="216"/>
        <v>1</v>
      </c>
      <c r="K876" s="9">
        <f t="shared" si="217"/>
        <v>0</v>
      </c>
      <c r="L876" s="297">
        <v>1</v>
      </c>
      <c r="M876" s="308"/>
    </row>
    <row r="877" spans="1:13" s="2" customFormat="1">
      <c r="A877" s="8">
        <v>13</v>
      </c>
      <c r="B877" s="27"/>
      <c r="C877" s="21" t="s">
        <v>135</v>
      </c>
      <c r="D877" s="22" t="s">
        <v>14</v>
      </c>
      <c r="E877" s="26" t="s">
        <v>134</v>
      </c>
      <c r="F877" s="297">
        <v>1</v>
      </c>
      <c r="G877" s="30">
        <f>ROUND(IF(F81=0,0,G81/F81),5)</f>
        <v>0.67852000000000001</v>
      </c>
      <c r="H877" s="29">
        <f>ROUND(IF(F81=0,0,H81/F81),5)</f>
        <v>3.9390000000000001E-2</v>
      </c>
      <c r="I877" s="28">
        <f>1-SUM(G877:H877)</f>
        <v>0.28208999999999995</v>
      </c>
      <c r="J877" s="9">
        <f t="shared" si="216"/>
        <v>1</v>
      </c>
      <c r="K877" s="9">
        <f t="shared" si="217"/>
        <v>0</v>
      </c>
      <c r="L877" s="297">
        <v>1</v>
      </c>
      <c r="M877" s="308"/>
    </row>
    <row r="878" spans="1:13" s="2" customFormat="1">
      <c r="A878" s="8">
        <v>14</v>
      </c>
      <c r="B878" s="27"/>
      <c r="C878" s="21" t="s">
        <v>133</v>
      </c>
      <c r="D878" s="22" t="s">
        <v>14</v>
      </c>
      <c r="E878" s="26" t="s">
        <v>132</v>
      </c>
      <c r="F878" s="297">
        <v>1</v>
      </c>
      <c r="G878" s="30">
        <f>ROUND(IF(F93=0,0,$G$93/F93),5)</f>
        <v>0.75300999999999996</v>
      </c>
      <c r="H878" s="29">
        <f>ROUND(IF(F93=0,0,$H$93/F93),5)</f>
        <v>5.2839999999999998E-2</v>
      </c>
      <c r="I878" s="28">
        <f>1-SUM(G878:H878)</f>
        <v>0.19415000000000004</v>
      </c>
      <c r="J878" s="9">
        <f t="shared" si="216"/>
        <v>1</v>
      </c>
      <c r="K878" s="9">
        <f t="shared" si="217"/>
        <v>0</v>
      </c>
      <c r="L878" s="297">
        <v>1</v>
      </c>
      <c r="M878" s="308"/>
    </row>
    <row r="879" spans="1:13" s="2" customFormat="1">
      <c r="A879" s="8">
        <v>15</v>
      </c>
      <c r="B879" s="27"/>
      <c r="C879" s="21" t="s">
        <v>131</v>
      </c>
      <c r="D879" s="22" t="s">
        <v>14</v>
      </c>
      <c r="E879" s="26" t="s">
        <v>130</v>
      </c>
      <c r="F879" s="297">
        <v>1</v>
      </c>
      <c r="G879" s="30">
        <f>ROUND(IF(F105=0,0,$G$105/F105),5)</f>
        <v>0.75300999999999996</v>
      </c>
      <c r="H879" s="29">
        <f>ROUND(IF(F105=0,0,$H$105/F105),5)</f>
        <v>5.2839999999999998E-2</v>
      </c>
      <c r="I879" s="28">
        <f>1-SUM(G879:H879)</f>
        <v>0.19415000000000004</v>
      </c>
      <c r="J879" s="9">
        <f t="shared" si="216"/>
        <v>1</v>
      </c>
      <c r="K879" s="9">
        <f t="shared" si="217"/>
        <v>0</v>
      </c>
      <c r="L879" s="297">
        <v>1</v>
      </c>
      <c r="M879" s="308"/>
    </row>
    <row r="880" spans="1:13" s="2" customFormat="1">
      <c r="A880" s="8">
        <v>16</v>
      </c>
      <c r="B880" s="27"/>
      <c r="C880" s="21" t="s">
        <v>129</v>
      </c>
      <c r="D880" s="22" t="s">
        <v>14</v>
      </c>
      <c r="E880" s="26" t="s">
        <v>128</v>
      </c>
      <c r="F880" s="297">
        <v>1</v>
      </c>
      <c r="G880" s="30">
        <f>ROUND(IF(F107=0,0,G107/F107),5)</f>
        <v>0.68110000000000004</v>
      </c>
      <c r="H880" s="29">
        <f>ROUND(IF(F107=0,0,H107/F107),5)</f>
        <v>3.9849999999999997E-2</v>
      </c>
      <c r="I880" s="28">
        <f>1-SUM(G880:H880)</f>
        <v>0.27905000000000002</v>
      </c>
      <c r="J880" s="9">
        <f t="shared" si="216"/>
        <v>1</v>
      </c>
      <c r="K880" s="9">
        <f t="shared" si="217"/>
        <v>0</v>
      </c>
      <c r="L880" s="297">
        <v>1</v>
      </c>
      <c r="M880" s="308"/>
    </row>
    <row r="881" spans="1:13" s="2" customFormat="1">
      <c r="A881" s="8">
        <v>17</v>
      </c>
      <c r="B881" s="27"/>
      <c r="C881" s="21" t="s">
        <v>127</v>
      </c>
      <c r="D881" s="22" t="s">
        <v>14</v>
      </c>
      <c r="E881" s="26" t="s">
        <v>126</v>
      </c>
      <c r="F881" s="297">
        <v>1</v>
      </c>
      <c r="G881" s="30">
        <f>ROUND(IF(F184=0,0,G184/F184),5)</f>
        <v>0.78022000000000002</v>
      </c>
      <c r="H881" s="29">
        <f>ROUND(IF(F184=0,0,H184/F184),5)</f>
        <v>2.563E-2</v>
      </c>
      <c r="I881" s="28">
        <f>1-SUM(G881:H881)</f>
        <v>0.19414999999999993</v>
      </c>
      <c r="J881" s="9">
        <f t="shared" si="216"/>
        <v>1</v>
      </c>
      <c r="K881" s="9">
        <f t="shared" si="217"/>
        <v>0</v>
      </c>
      <c r="L881" s="297">
        <v>1</v>
      </c>
      <c r="M881" s="308"/>
    </row>
    <row r="882" spans="1:13" s="2" customFormat="1">
      <c r="A882" s="8">
        <v>18</v>
      </c>
      <c r="B882" s="27"/>
      <c r="C882" s="32"/>
      <c r="D882" s="12"/>
      <c r="E882" s="13"/>
      <c r="F882" s="297"/>
      <c r="G882" s="30"/>
      <c r="H882" s="29"/>
      <c r="I882" s="28"/>
      <c r="J882" s="9"/>
      <c r="K882" s="9"/>
      <c r="L882" s="297"/>
      <c r="M882" s="308"/>
    </row>
    <row r="883" spans="1:13" s="2" customFormat="1">
      <c r="A883" s="8">
        <v>19</v>
      </c>
      <c r="B883" s="31" t="s">
        <v>125</v>
      </c>
      <c r="C883" s="32"/>
      <c r="D883" s="12"/>
      <c r="E883" s="13"/>
      <c r="F883" s="297"/>
      <c r="G883" s="30"/>
      <c r="H883" s="29"/>
      <c r="I883" s="28"/>
      <c r="J883" s="9"/>
      <c r="K883" s="9"/>
      <c r="L883" s="297"/>
      <c r="M883" s="308"/>
    </row>
    <row r="884" spans="1:13" s="2" customFormat="1">
      <c r="A884" s="8">
        <v>20</v>
      </c>
      <c r="B884" s="27"/>
      <c r="C884" s="21" t="s">
        <v>124</v>
      </c>
      <c r="D884" s="22" t="s">
        <v>14</v>
      </c>
      <c r="E884" s="26" t="s">
        <v>123</v>
      </c>
      <c r="F884" s="297">
        <v>1</v>
      </c>
      <c r="G884" s="30">
        <f>ROUND(IF(F200=0,0,G200/F200),5)</f>
        <v>1</v>
      </c>
      <c r="H884" s="29">
        <f>ROUND(IF(F200=0,0,H200/F200),5)</f>
        <v>0</v>
      </c>
      <c r="I884" s="28">
        <f>1-SUM(G884:H884)</f>
        <v>0</v>
      </c>
      <c r="J884" s="9">
        <f t="shared" ref="J884:J891" si="218">SUM(G884:I884)</f>
        <v>1</v>
      </c>
      <c r="K884" s="9">
        <f t="shared" ref="K884:K891" si="219">F884-J884</f>
        <v>0</v>
      </c>
      <c r="L884" s="297">
        <v>1</v>
      </c>
      <c r="M884" s="308"/>
    </row>
    <row r="885" spans="1:13" s="2" customFormat="1">
      <c r="A885" s="8">
        <v>21</v>
      </c>
      <c r="B885" s="27"/>
      <c r="C885" s="21" t="s">
        <v>122</v>
      </c>
      <c r="D885" s="22" t="s">
        <v>14</v>
      </c>
      <c r="E885" s="26" t="s">
        <v>121</v>
      </c>
      <c r="F885" s="297">
        <v>1</v>
      </c>
      <c r="G885" s="30">
        <f>ROUND(IF(F206=0,0,G206/F206),5)</f>
        <v>0</v>
      </c>
      <c r="H885" s="29">
        <f>ROUND(IF(F206=0,0,H206/F206),5)</f>
        <v>1</v>
      </c>
      <c r="I885" s="28">
        <f>1-SUM(G885:H885)</f>
        <v>0</v>
      </c>
      <c r="J885" s="9">
        <f t="shared" si="218"/>
        <v>1</v>
      </c>
      <c r="K885" s="9">
        <f t="shared" si="219"/>
        <v>0</v>
      </c>
      <c r="L885" s="297">
        <v>1</v>
      </c>
      <c r="M885" s="308"/>
    </row>
    <row r="886" spans="1:13" s="2" customFormat="1">
      <c r="A886" s="8">
        <v>22</v>
      </c>
      <c r="B886" s="27"/>
      <c r="C886" s="21" t="s">
        <v>120</v>
      </c>
      <c r="D886" s="22" t="s">
        <v>14</v>
      </c>
      <c r="E886" s="26" t="s">
        <v>119</v>
      </c>
      <c r="F886" s="297">
        <v>1</v>
      </c>
      <c r="G886" s="30">
        <f>ROUND(IF(SUM($F$212:$F$215)=0,0,SUM(G212:G215)/SUM($F$212:$F$215)),5)</f>
        <v>0</v>
      </c>
      <c r="H886" s="29">
        <f>ROUND(IF(SUM($F$212:$F$215)=0,0,SUM(H212:H215)/SUM($F$212:$F$215)),5)</f>
        <v>0</v>
      </c>
      <c r="I886" s="28">
        <f>ROUND(IF(SUM($F$212:$F$215)=0,0,SUM(I212:I215)/SUM($F$212:$F$215)),5)</f>
        <v>1</v>
      </c>
      <c r="J886" s="9">
        <f t="shared" si="218"/>
        <v>1</v>
      </c>
      <c r="K886" s="9">
        <f t="shared" si="219"/>
        <v>0</v>
      </c>
      <c r="L886" s="297">
        <v>1</v>
      </c>
      <c r="M886" s="308"/>
    </row>
    <row r="887" spans="1:13" s="2" customFormat="1">
      <c r="A887" s="8">
        <v>23</v>
      </c>
      <c r="B887" s="27"/>
      <c r="C887" s="21" t="s">
        <v>118</v>
      </c>
      <c r="D887" s="22" t="s">
        <v>14</v>
      </c>
      <c r="E887" s="26" t="s">
        <v>117</v>
      </c>
      <c r="F887" s="297">
        <v>1</v>
      </c>
      <c r="G887" s="30">
        <f>ROUND(IF($F$232=0,0,G232/$F$232),5)</f>
        <v>0</v>
      </c>
      <c r="H887" s="29">
        <f>ROUND(IF($F$232=0,0,H232/$F$232),5)</f>
        <v>2.0000000000000001E-4</v>
      </c>
      <c r="I887" s="28">
        <f>1-SUM(G887:H887)</f>
        <v>0.99980000000000002</v>
      </c>
      <c r="J887" s="9">
        <f t="shared" si="218"/>
        <v>1</v>
      </c>
      <c r="K887" s="9">
        <f t="shared" si="219"/>
        <v>0</v>
      </c>
      <c r="L887" s="297">
        <v>1</v>
      </c>
      <c r="M887" s="308"/>
    </row>
    <row r="888" spans="1:13" s="2" customFormat="1">
      <c r="A888" s="8">
        <v>24</v>
      </c>
      <c r="B888" s="27"/>
      <c r="C888" s="21" t="s">
        <v>116</v>
      </c>
      <c r="D888" s="22" t="s">
        <v>14</v>
      </c>
      <c r="E888" s="26" t="s">
        <v>115</v>
      </c>
      <c r="F888" s="297">
        <v>1</v>
      </c>
      <c r="G888" s="30">
        <f>ROUND(IF($F$235=0,0,G235/$F$235),5)</f>
        <v>0.58377999999999997</v>
      </c>
      <c r="H888" s="29">
        <f>ROUND(IF($F$235=0,0,H235/$F$235),5)</f>
        <v>5.3469999999999997E-2</v>
      </c>
      <c r="I888" s="28">
        <f>1-SUM(G888:H888)</f>
        <v>0.36275000000000002</v>
      </c>
      <c r="J888" s="9">
        <f t="shared" si="218"/>
        <v>1</v>
      </c>
      <c r="K888" s="9">
        <f t="shared" si="219"/>
        <v>0</v>
      </c>
      <c r="L888" s="297">
        <v>1</v>
      </c>
      <c r="M888" s="308"/>
    </row>
    <row r="889" spans="1:13" s="2" customFormat="1">
      <c r="A889" s="8">
        <v>25</v>
      </c>
      <c r="B889" s="27"/>
      <c r="C889" s="21" t="s">
        <v>114</v>
      </c>
      <c r="D889" s="22" t="s">
        <v>14</v>
      </c>
      <c r="E889" s="26" t="s">
        <v>113</v>
      </c>
      <c r="F889" s="297">
        <v>1</v>
      </c>
      <c r="G889" s="30">
        <f>ROUND(IF($F$247=0,0,G247/$F$247),5)</f>
        <v>0.72462000000000004</v>
      </c>
      <c r="H889" s="29">
        <f>ROUND(IF($F$247=0,0,H247/$F$247),5)</f>
        <v>5.2839999999999998E-2</v>
      </c>
      <c r="I889" s="28">
        <f>1-SUM(G889:H889)</f>
        <v>0.22253999999999996</v>
      </c>
      <c r="J889" s="9">
        <f t="shared" si="218"/>
        <v>1</v>
      </c>
      <c r="K889" s="9">
        <f t="shared" si="219"/>
        <v>0</v>
      </c>
      <c r="L889" s="297">
        <v>1</v>
      </c>
      <c r="M889" s="308"/>
    </row>
    <row r="890" spans="1:13" s="2" customFormat="1">
      <c r="A890" s="8">
        <v>26</v>
      </c>
      <c r="B890" s="27"/>
      <c r="C890" s="21" t="s">
        <v>112</v>
      </c>
      <c r="D890" s="22" t="s">
        <v>14</v>
      </c>
      <c r="E890" s="26" t="s">
        <v>111</v>
      </c>
      <c r="F890" s="297">
        <v>1</v>
      </c>
      <c r="G890" s="30">
        <f>ROUND(IF($F$259=0,0,G259/$F$259),5)</f>
        <v>0.70404999999999995</v>
      </c>
      <c r="H890" s="29">
        <f>ROUND(IF($F$259=0,0,H259/$F$259),5)</f>
        <v>5.2839999999999998E-2</v>
      </c>
      <c r="I890" s="28">
        <f>1-SUM(G890:H890)</f>
        <v>0.24311000000000005</v>
      </c>
      <c r="J890" s="9">
        <f t="shared" si="218"/>
        <v>1</v>
      </c>
      <c r="K890" s="9">
        <f t="shared" si="219"/>
        <v>0</v>
      </c>
      <c r="L890" s="297">
        <v>1</v>
      </c>
      <c r="M890" s="308"/>
    </row>
    <row r="891" spans="1:13" s="2" customFormat="1">
      <c r="A891" s="8">
        <v>27</v>
      </c>
      <c r="B891" s="27"/>
      <c r="C891" s="21" t="s">
        <v>110</v>
      </c>
      <c r="D891" s="22" t="s">
        <v>14</v>
      </c>
      <c r="E891" s="26" t="s">
        <v>2</v>
      </c>
      <c r="F891" s="297">
        <v>1</v>
      </c>
      <c r="G891" s="30">
        <f>ROUND(IF(F261=0,0,G261/F261),5)</f>
        <v>0.58630000000000004</v>
      </c>
      <c r="H891" s="29">
        <f>ROUND(IF(F261=0,0,H261/F261),5)</f>
        <v>5.3460000000000001E-2</v>
      </c>
      <c r="I891" s="28">
        <f>1-SUM(G891:H891)</f>
        <v>0.36024</v>
      </c>
      <c r="J891" s="9">
        <f t="shared" si="218"/>
        <v>1</v>
      </c>
      <c r="K891" s="9">
        <f t="shared" si="219"/>
        <v>0</v>
      </c>
      <c r="L891" s="297">
        <v>1</v>
      </c>
      <c r="M891" s="308"/>
    </row>
    <row r="892" spans="1:13" s="2" customFormat="1">
      <c r="A892" s="8">
        <v>28</v>
      </c>
      <c r="B892" s="27"/>
      <c r="C892" s="21"/>
      <c r="D892" s="73"/>
      <c r="E892" s="26"/>
      <c r="F892" s="299"/>
      <c r="G892" s="30"/>
      <c r="H892" s="29"/>
      <c r="I892" s="28"/>
      <c r="J892" s="9"/>
      <c r="K892" s="9"/>
      <c r="L892" s="299"/>
      <c r="M892" s="308"/>
    </row>
    <row r="893" spans="1:13" s="2" customFormat="1">
      <c r="A893" s="8">
        <v>29</v>
      </c>
      <c r="B893" s="31" t="s">
        <v>109</v>
      </c>
      <c r="C893" s="32"/>
      <c r="D893" s="12"/>
      <c r="E893" s="13"/>
      <c r="F893" s="299"/>
      <c r="G893" s="30"/>
      <c r="H893" s="29"/>
      <c r="I893" s="28"/>
      <c r="J893" s="9"/>
      <c r="K893" s="9"/>
      <c r="L893" s="299"/>
      <c r="M893" s="308"/>
    </row>
    <row r="894" spans="1:13" s="2" customFormat="1">
      <c r="A894" s="8">
        <v>30</v>
      </c>
      <c r="B894" s="27"/>
      <c r="C894" s="21" t="s">
        <v>108</v>
      </c>
      <c r="D894" s="22" t="s">
        <v>14</v>
      </c>
      <c r="E894" s="26" t="s">
        <v>107</v>
      </c>
      <c r="F894" s="297">
        <v>1</v>
      </c>
      <c r="G894" s="30">
        <f>1-H894-I894</f>
        <v>0.83716000000000002</v>
      </c>
      <c r="H894" s="29">
        <f>ROUND(IF(F383=0,0,H383/F383),5)</f>
        <v>1.9949999999999999E-2</v>
      </c>
      <c r="I894" s="28">
        <f>ROUND(IF(F383=0,0,I383/F383),5)</f>
        <v>0.14288999999999999</v>
      </c>
      <c r="J894" s="9">
        <f>SUM(G894:I894)</f>
        <v>1</v>
      </c>
      <c r="K894" s="9">
        <f>F894-J894</f>
        <v>0</v>
      </c>
      <c r="L894" s="297">
        <v>1</v>
      </c>
      <c r="M894" s="308"/>
    </row>
    <row r="895" spans="1:13" s="2" customFormat="1">
      <c r="A895" s="8">
        <v>31</v>
      </c>
      <c r="B895" s="27"/>
      <c r="C895" s="21" t="s">
        <v>106</v>
      </c>
      <c r="D895" s="22" t="s">
        <v>14</v>
      </c>
      <c r="E895" s="26" t="s">
        <v>105</v>
      </c>
      <c r="F895" s="297">
        <v>1</v>
      </c>
      <c r="G895" s="30">
        <f>ROUND(IF(F389=0,0,G389/F389),5)</f>
        <v>0</v>
      </c>
      <c r="H895" s="29">
        <f>ROUND(IF(F389=0,0,H389/F389),5)</f>
        <v>0</v>
      </c>
      <c r="I895" s="28">
        <f>ROUND(IF(F389=0,0,I389/F389),5)</f>
        <v>0</v>
      </c>
      <c r="J895" s="9">
        <f>SUM(G895:I895)</f>
        <v>0</v>
      </c>
      <c r="K895" s="9">
        <f>F895-J895</f>
        <v>1</v>
      </c>
      <c r="L895" s="297">
        <v>1</v>
      </c>
      <c r="M895" s="308"/>
    </row>
    <row r="896" spans="1:13" s="2" customFormat="1">
      <c r="A896" s="8">
        <v>32</v>
      </c>
      <c r="B896" s="27"/>
      <c r="C896" s="21" t="s">
        <v>104</v>
      </c>
      <c r="D896" s="22" t="s">
        <v>14</v>
      </c>
      <c r="E896" s="26" t="s">
        <v>103</v>
      </c>
      <c r="F896" s="297">
        <v>1</v>
      </c>
      <c r="G896" s="30">
        <f>ROUND(IF(F392=0,0,G392/F392),5)</f>
        <v>1</v>
      </c>
      <c r="H896" s="29">
        <f>ROUND(IF(F392=0,0,H392/F392),5)</f>
        <v>0</v>
      </c>
      <c r="I896" s="28">
        <f>ROUND(IF(F392=0,0,I392/F392),5)</f>
        <v>0</v>
      </c>
      <c r="J896" s="9">
        <f>SUM(G896:I896)</f>
        <v>1</v>
      </c>
      <c r="K896" s="9">
        <f>F896-J896</f>
        <v>0</v>
      </c>
      <c r="L896" s="297">
        <v>1</v>
      </c>
      <c r="M896" s="308"/>
    </row>
    <row r="897" spans="1:13" s="2" customFormat="1">
      <c r="A897" s="8">
        <v>33</v>
      </c>
      <c r="B897" s="27"/>
      <c r="C897" s="21" t="s">
        <v>102</v>
      </c>
      <c r="D897" s="22" t="s">
        <v>14</v>
      </c>
      <c r="E897" s="26" t="s">
        <v>101</v>
      </c>
      <c r="F897" s="297">
        <v>1</v>
      </c>
      <c r="G897" s="30">
        <f>ROUND(IF(F398=0,0,G398/F398),5)</f>
        <v>0</v>
      </c>
      <c r="H897" s="29">
        <f>ROUND(IF(F398=0,0,H398/F398),5)</f>
        <v>0</v>
      </c>
      <c r="I897" s="28">
        <f>ROUND(IF(F398=0,0,I398/F398),5)</f>
        <v>0</v>
      </c>
      <c r="J897" s="9">
        <f>SUM(G897:I897)</f>
        <v>0</v>
      </c>
      <c r="K897" s="9">
        <f>F897-J897</f>
        <v>1</v>
      </c>
      <c r="L897" s="297">
        <v>1</v>
      </c>
      <c r="M897" s="308"/>
    </row>
    <row r="898" spans="1:13" s="2" customFormat="1">
      <c r="A898" s="8">
        <v>34</v>
      </c>
      <c r="B898" s="27"/>
      <c r="C898" s="21" t="s">
        <v>100</v>
      </c>
      <c r="D898" s="22" t="s">
        <v>14</v>
      </c>
      <c r="E898" s="26" t="s">
        <v>99</v>
      </c>
      <c r="F898" s="297">
        <v>1</v>
      </c>
      <c r="G898" s="30">
        <f>ROUND(IF($F$400=0,0,G400/F400),5)</f>
        <v>0.87953000000000003</v>
      </c>
      <c r="H898" s="29">
        <f>ROUND(IF($F$400=0,0,H400/F400),5)</f>
        <v>1.4760000000000001E-2</v>
      </c>
      <c r="I898" s="28">
        <f>ROUND(IF($F$400=0,0,I400/F400),5)</f>
        <v>0.10571</v>
      </c>
      <c r="J898" s="9">
        <f>SUM(G898:I898)</f>
        <v>1</v>
      </c>
      <c r="K898" s="9">
        <f>F898-J898</f>
        <v>0</v>
      </c>
      <c r="L898" s="297">
        <v>1</v>
      </c>
      <c r="M898" s="308"/>
    </row>
    <row r="899" spans="1:13" s="2" customFormat="1">
      <c r="A899" s="8">
        <v>35</v>
      </c>
      <c r="B899" s="27"/>
      <c r="C899" s="21"/>
      <c r="D899" s="22"/>
      <c r="E899" s="26"/>
      <c r="F899" s="297"/>
      <c r="G899" s="30"/>
      <c r="H899" s="29"/>
      <c r="I899" s="28"/>
      <c r="J899" s="9"/>
      <c r="K899" s="9"/>
      <c r="L899" s="297"/>
      <c r="M899" s="308"/>
    </row>
    <row r="900" spans="1:13" s="2" customFormat="1">
      <c r="A900" s="8">
        <v>36</v>
      </c>
      <c r="B900" s="31" t="s">
        <v>98</v>
      </c>
      <c r="C900" s="32"/>
      <c r="D900" s="12"/>
      <c r="E900" s="13"/>
      <c r="F900" s="297"/>
      <c r="G900" s="30"/>
      <c r="H900" s="29"/>
      <c r="I900" s="28"/>
      <c r="J900" s="9"/>
      <c r="K900" s="9"/>
      <c r="L900" s="297"/>
      <c r="M900" s="308"/>
    </row>
    <row r="901" spans="1:13" s="2" customFormat="1">
      <c r="A901" s="8">
        <v>37</v>
      </c>
      <c r="B901" s="27"/>
      <c r="C901" s="21" t="s">
        <v>97</v>
      </c>
      <c r="D901" s="22" t="s">
        <v>14</v>
      </c>
      <c r="E901" s="26" t="s">
        <v>96</v>
      </c>
      <c r="F901" s="297">
        <v>1</v>
      </c>
      <c r="G901" s="30">
        <f>ROUND(IF($F$374=0,0,G374/$F$374),5)</f>
        <v>0.63963999999999999</v>
      </c>
      <c r="H901" s="29">
        <f>ROUND(IF($F$374=0,0,H374/$F$374),5)</f>
        <v>5.8279999999999998E-2</v>
      </c>
      <c r="I901" s="28">
        <f>1-SUM(G901:H901)</f>
        <v>0.30208000000000002</v>
      </c>
      <c r="J901" s="9">
        <f>SUM(G901:I901)</f>
        <v>1</v>
      </c>
      <c r="K901" s="9">
        <f>F901-J901</f>
        <v>0</v>
      </c>
      <c r="L901" s="297">
        <v>1</v>
      </c>
      <c r="M901" s="308"/>
    </row>
    <row r="902" spans="1:13" s="2" customFormat="1">
      <c r="A902" s="8">
        <v>38</v>
      </c>
      <c r="B902" s="27"/>
      <c r="C902" s="21" t="s">
        <v>95</v>
      </c>
      <c r="D902" s="22" t="s">
        <v>14</v>
      </c>
      <c r="E902" s="26" t="s">
        <v>94</v>
      </c>
      <c r="F902" s="297">
        <v>1</v>
      </c>
      <c r="G902" s="30">
        <f>ROUND(IF($F$410=0,0,G410/$F$410),5)</f>
        <v>0.65891</v>
      </c>
      <c r="H902" s="29">
        <f>ROUND(IF($F$410=0,0,H410/$F$410),5)</f>
        <v>5.4789999999999998E-2</v>
      </c>
      <c r="I902" s="28">
        <f>1-SUM(G902:H902)</f>
        <v>0.2863</v>
      </c>
      <c r="J902" s="9">
        <f>SUM(G902:I902)</f>
        <v>1</v>
      </c>
      <c r="K902" s="9">
        <f>F902-J902</f>
        <v>0</v>
      </c>
      <c r="L902" s="297">
        <v>1</v>
      </c>
      <c r="M902" s="308"/>
    </row>
    <row r="903" spans="1:13" s="2" customFormat="1">
      <c r="A903" s="8">
        <v>39</v>
      </c>
      <c r="B903" s="27"/>
      <c r="C903" s="21" t="s">
        <v>93</v>
      </c>
      <c r="D903" s="22" t="s">
        <v>14</v>
      </c>
      <c r="E903" s="26" t="s">
        <v>92</v>
      </c>
      <c r="F903" s="297">
        <v>1</v>
      </c>
      <c r="G903" s="30">
        <f>ROUND(IF($F$359=0,0,G359/$F$359),5)</f>
        <v>0</v>
      </c>
      <c r="H903" s="29">
        <f>ROUND(IF($F$359=0,0,H359/$F$359),5)</f>
        <v>0</v>
      </c>
      <c r="I903" s="28">
        <f>1-SUM(G903:H903)</f>
        <v>1</v>
      </c>
      <c r="J903" s="42">
        <f>SUM(G903:I903)</f>
        <v>1</v>
      </c>
      <c r="K903" s="42">
        <f>F903-J903</f>
        <v>0</v>
      </c>
      <c r="L903" s="297">
        <v>1</v>
      </c>
      <c r="M903" s="308"/>
    </row>
    <row r="904" spans="1:13" s="2" customFormat="1">
      <c r="A904" s="8"/>
      <c r="B904" s="72"/>
      <c r="C904" s="71"/>
      <c r="D904" s="70"/>
      <c r="E904" s="47"/>
      <c r="F904" s="302"/>
      <c r="G904" s="69"/>
      <c r="H904" s="69"/>
      <c r="I904" s="69"/>
      <c r="J904" s="68"/>
      <c r="K904" s="68"/>
      <c r="L904" s="302"/>
      <c r="M904" s="308"/>
    </row>
    <row r="905" spans="1:13" s="2" customFormat="1">
      <c r="A905" s="67" t="str">
        <f>co_name</f>
        <v>DUKE ENERGY KENTUCKY, INC.</v>
      </c>
      <c r="B905" s="1"/>
      <c r="C905" s="32"/>
      <c r="D905" s="12"/>
      <c r="E905" s="32"/>
      <c r="F905" s="253"/>
      <c r="G905" s="27"/>
      <c r="H905" s="27"/>
      <c r="I905" s="27"/>
      <c r="J905" s="27" t="str">
        <f>J1</f>
        <v>FR-16(7)(v)-1</v>
      </c>
      <c r="K905" s="27"/>
      <c r="L905" s="253"/>
      <c r="M905" s="308"/>
    </row>
    <row r="906" spans="1:13" s="2" customFormat="1">
      <c r="A906" s="67" t="str">
        <f>$A$2</f>
        <v>FUNCTIONAL ELECTRIC COST OF SERVICE</v>
      </c>
      <c r="B906" s="1"/>
      <c r="C906" s="32"/>
      <c r="D906" s="12"/>
      <c r="E906" s="32"/>
      <c r="F906" s="253"/>
      <c r="G906" s="27"/>
      <c r="H906" s="27"/>
      <c r="I906" s="27"/>
      <c r="J906" s="27" t="str">
        <f>J2</f>
        <v>WITNESS RESPONSIBLE:</v>
      </c>
      <c r="K906" s="27"/>
      <c r="L906" s="253"/>
      <c r="M906" s="308"/>
    </row>
    <row r="907" spans="1:13" s="2" customFormat="1">
      <c r="A907" s="67" t="str">
        <f>case_name</f>
        <v>CASE NO: 2017-00321</v>
      </c>
      <c r="B907" s="1"/>
      <c r="C907" s="32"/>
      <c r="D907" s="12"/>
      <c r="E907" s="32"/>
      <c r="F907" s="253"/>
      <c r="G907" s="27"/>
      <c r="H907" s="27"/>
      <c r="I907" s="27"/>
      <c r="J907" s="27" t="str">
        <f>Witness</f>
        <v>JAMES E. ZIOLKOWSKI</v>
      </c>
      <c r="K907" s="27"/>
      <c r="L907" s="253"/>
      <c r="M907" s="308"/>
    </row>
    <row r="908" spans="1:13" s="2" customFormat="1">
      <c r="A908" s="67" t="str">
        <f>data_filing</f>
        <v>DATA: 12 MONTHS ACTUAL  &amp; 0 MONTHS ESTIMATED</v>
      </c>
      <c r="B908" s="1"/>
      <c r="C908" s="32"/>
      <c r="D908" s="12"/>
      <c r="E908" s="32"/>
      <c r="F908" s="253"/>
      <c r="G908" s="27"/>
      <c r="H908" s="27"/>
      <c r="I908" s="27"/>
      <c r="J908" s="27" t="str">
        <f>"PAGE "&amp;Pages&amp;" OF "&amp;Pages</f>
        <v>PAGE 18 OF 18</v>
      </c>
      <c r="K908" s="27"/>
      <c r="L908" s="253"/>
      <c r="M908" s="308"/>
    </row>
    <row r="909" spans="1:13" s="2" customFormat="1">
      <c r="A909" s="67" t="str">
        <f>type</f>
        <v xml:space="preserve">TYPE OF FILING: "X" ORIGINAL   UPDATED    REVISED  </v>
      </c>
      <c r="B909" s="1"/>
      <c r="C909" s="32"/>
      <c r="D909" s="12"/>
      <c r="E909" s="32"/>
      <c r="F909" s="253"/>
      <c r="G909" s="27"/>
      <c r="H909" s="27"/>
      <c r="I909" s="27"/>
      <c r="J909" s="27"/>
      <c r="K909" s="27"/>
      <c r="L909" s="253"/>
      <c r="M909" s="308"/>
    </row>
    <row r="910" spans="1:13" s="2" customFormat="1">
      <c r="A910" s="1"/>
      <c r="B910" s="27"/>
      <c r="C910" s="3"/>
      <c r="D910" s="4"/>
      <c r="E910" s="4"/>
      <c r="F910" s="286"/>
      <c r="G910" s="38"/>
      <c r="H910" s="38"/>
      <c r="I910" s="38"/>
      <c r="J910" s="1"/>
      <c r="K910" s="1"/>
      <c r="L910" s="286"/>
      <c r="M910" s="308"/>
    </row>
    <row r="911" spans="1:13" s="2" customFormat="1">
      <c r="A911" s="1"/>
      <c r="B911" s="27"/>
      <c r="C911" s="3"/>
      <c r="D911" s="4"/>
      <c r="E911" s="4"/>
      <c r="F911" s="286"/>
      <c r="G911" s="38"/>
      <c r="H911" s="38"/>
      <c r="I911" s="38"/>
      <c r="J911" s="1"/>
      <c r="K911" s="1"/>
      <c r="L911" s="286"/>
      <c r="M911" s="308"/>
    </row>
    <row r="912" spans="1:13" s="2" customFormat="1">
      <c r="A912" s="8" t="s">
        <v>91</v>
      </c>
      <c r="B912" s="27"/>
      <c r="C912" s="32"/>
      <c r="D912" s="12"/>
      <c r="E912" s="12"/>
      <c r="F912" s="293" t="s">
        <v>1</v>
      </c>
      <c r="G912" s="66" t="s">
        <v>90</v>
      </c>
      <c r="H912" s="65"/>
      <c r="I912" s="64"/>
      <c r="J912" s="8" t="s">
        <v>1</v>
      </c>
      <c r="K912" s="8" t="s">
        <v>89</v>
      </c>
      <c r="L912" s="293" t="s">
        <v>1</v>
      </c>
      <c r="M912" s="308"/>
    </row>
    <row r="913" spans="1:13" s="2" customFormat="1">
      <c r="A913" s="57" t="s">
        <v>88</v>
      </c>
      <c r="B913" s="63" t="s">
        <v>87</v>
      </c>
      <c r="C913" s="62"/>
      <c r="D913" s="61" t="s">
        <v>86</v>
      </c>
      <c r="E913" s="61" t="s">
        <v>85</v>
      </c>
      <c r="F913" s="285" t="str">
        <f>$F$9</f>
        <v>ELECTRIC</v>
      </c>
      <c r="G913" s="60" t="str">
        <f t="shared" ref="G913:I914" si="220">G9</f>
        <v>PRODUCTION</v>
      </c>
      <c r="H913" s="59" t="str">
        <f t="shared" si="220"/>
        <v>TRANSMISSION</v>
      </c>
      <c r="I913" s="58" t="str">
        <f t="shared" si="220"/>
        <v>DISTRIBUTION</v>
      </c>
      <c r="J913" s="57" t="s">
        <v>84</v>
      </c>
      <c r="K913" s="57" t="s">
        <v>83</v>
      </c>
      <c r="L913" s="285" t="s">
        <v>82</v>
      </c>
      <c r="M913" s="308"/>
    </row>
    <row r="914" spans="1:13" s="2" customFormat="1">
      <c r="A914" s="1"/>
      <c r="B914" s="1"/>
      <c r="C914" s="55" t="s">
        <v>81</v>
      </c>
      <c r="D914" s="4"/>
      <c r="E914" s="51">
        <v>1</v>
      </c>
      <c r="F914" s="301">
        <v>2</v>
      </c>
      <c r="G914" s="54">
        <f t="shared" si="220"/>
        <v>3</v>
      </c>
      <c r="H914" s="53">
        <f t="shared" si="220"/>
        <v>4</v>
      </c>
      <c r="I914" s="52">
        <f t="shared" si="220"/>
        <v>5</v>
      </c>
      <c r="J914" s="1"/>
      <c r="K914" s="1"/>
      <c r="L914" s="301">
        <v>2</v>
      </c>
      <c r="M914" s="308"/>
    </row>
    <row r="915" spans="1:13" s="2" customFormat="1">
      <c r="A915" s="8">
        <v>1</v>
      </c>
      <c r="B915" s="50" t="s">
        <v>80</v>
      </c>
      <c r="C915" s="49"/>
      <c r="D915" s="48"/>
      <c r="E915" s="47"/>
      <c r="F915" s="303"/>
      <c r="G915" s="46"/>
      <c r="H915" s="45"/>
      <c r="I915" s="44"/>
      <c r="J915" s="43"/>
      <c r="K915" s="43"/>
      <c r="L915" s="303"/>
      <c r="M915" s="308"/>
    </row>
    <row r="916" spans="1:13" s="2" customFormat="1">
      <c r="A916" s="8">
        <v>2</v>
      </c>
      <c r="B916" s="27"/>
      <c r="C916" s="21" t="s">
        <v>79</v>
      </c>
      <c r="D916" s="22" t="s">
        <v>14</v>
      </c>
      <c r="E916" s="26" t="s">
        <v>78</v>
      </c>
      <c r="F916" s="297">
        <v>1</v>
      </c>
      <c r="G916" s="30">
        <f>ROUND(IF($F$441=0,0,G441/$F$441),5)</f>
        <v>0</v>
      </c>
      <c r="H916" s="29">
        <f>ROUND(IF($F$441=0,0,H441/$F$441),5)</f>
        <v>0</v>
      </c>
      <c r="I916" s="28">
        <f>ROUND(IF($F$441=0,0,I441/$F$441),5)</f>
        <v>0</v>
      </c>
      <c r="J916" s="9">
        <f t="shared" ref="J916:J925" si="221">SUM(G916:I916)</f>
        <v>0</v>
      </c>
      <c r="K916" s="9">
        <f t="shared" ref="K916:K925" si="222">F916-J916</f>
        <v>1</v>
      </c>
      <c r="L916" s="297">
        <v>1</v>
      </c>
      <c r="M916" s="308"/>
    </row>
    <row r="917" spans="1:13" s="2" customFormat="1">
      <c r="A917" s="8">
        <v>3</v>
      </c>
      <c r="B917" s="27"/>
      <c r="C917" s="21" t="s">
        <v>77</v>
      </c>
      <c r="D917" s="22" t="s">
        <v>14</v>
      </c>
      <c r="E917" s="26" t="s">
        <v>76</v>
      </c>
      <c r="F917" s="297">
        <v>1</v>
      </c>
      <c r="G917" s="30">
        <f>ROUND(IF($F$437=0,0,G437/$F$437),5)</f>
        <v>1</v>
      </c>
      <c r="H917" s="29">
        <f>ROUND(IF($F$437=0,0,H437/$F$437),5)</f>
        <v>0</v>
      </c>
      <c r="I917" s="28">
        <f>ROUND(IF($F$437=0,0,I437/$F$437),5)</f>
        <v>0</v>
      </c>
      <c r="J917" s="9">
        <f t="shared" si="221"/>
        <v>1</v>
      </c>
      <c r="K917" s="9">
        <f t="shared" si="222"/>
        <v>0</v>
      </c>
      <c r="L917" s="297">
        <v>1</v>
      </c>
      <c r="M917" s="308"/>
    </row>
    <row r="918" spans="1:13" s="2" customFormat="1">
      <c r="A918" s="8">
        <v>4</v>
      </c>
      <c r="B918" s="27"/>
      <c r="C918" s="21" t="s">
        <v>75</v>
      </c>
      <c r="D918" s="22" t="s">
        <v>14</v>
      </c>
      <c r="E918" s="26" t="s">
        <v>74</v>
      </c>
      <c r="F918" s="297">
        <v>1</v>
      </c>
      <c r="G918" s="30">
        <f>ROUND(IF($F$443=0,0,G443/$F$443),5)</f>
        <v>1</v>
      </c>
      <c r="H918" s="29">
        <f>ROUND(IF($F$443=0,0,H443/$F$443),5)</f>
        <v>0</v>
      </c>
      <c r="I918" s="28">
        <f>ROUND(IF($F$443=0,0,I443/$F$443),5)</f>
        <v>0</v>
      </c>
      <c r="J918" s="9">
        <f t="shared" si="221"/>
        <v>1</v>
      </c>
      <c r="K918" s="9">
        <f t="shared" si="222"/>
        <v>0</v>
      </c>
      <c r="L918" s="297">
        <v>1</v>
      </c>
      <c r="M918" s="308"/>
    </row>
    <row r="919" spans="1:13" s="2" customFormat="1">
      <c r="A919" s="8">
        <v>5</v>
      </c>
      <c r="B919" s="27"/>
      <c r="C919" s="21" t="s">
        <v>73</v>
      </c>
      <c r="D919" s="22" t="s">
        <v>14</v>
      </c>
      <c r="E919" s="26" t="s">
        <v>72</v>
      </c>
      <c r="F919" s="297">
        <v>1</v>
      </c>
      <c r="G919" s="30">
        <f>ROUND(IF($F$450=0,0,G450/$F$450),5)</f>
        <v>0</v>
      </c>
      <c r="H919" s="29">
        <f>ROUND(IF($F$450=0,0,H450/$F$450),5)</f>
        <v>1</v>
      </c>
      <c r="I919" s="28">
        <f>ROUND(IF($F$450=0,0,I450/$F$450),5)</f>
        <v>0</v>
      </c>
      <c r="J919" s="9">
        <f t="shared" si="221"/>
        <v>1</v>
      </c>
      <c r="K919" s="9">
        <f t="shared" si="222"/>
        <v>0</v>
      </c>
      <c r="L919" s="297">
        <v>1</v>
      </c>
      <c r="M919" s="308"/>
    </row>
    <row r="920" spans="1:13" s="2" customFormat="1">
      <c r="A920" s="8">
        <v>6</v>
      </c>
      <c r="B920" s="27"/>
      <c r="C920" s="21" t="s">
        <v>71</v>
      </c>
      <c r="D920" s="22" t="s">
        <v>14</v>
      </c>
      <c r="E920" s="26" t="s">
        <v>70</v>
      </c>
      <c r="F920" s="297">
        <v>1</v>
      </c>
      <c r="G920" s="30">
        <f>ROUND(IF($F$476=0,0,G476/$F$476),5)</f>
        <v>3.9320000000000001E-2</v>
      </c>
      <c r="H920" s="29">
        <f>ROUND(IF($F$476=0,0,H476/$F$476),5)</f>
        <v>6.9999999999999994E-5</v>
      </c>
      <c r="I920" s="28">
        <f>ROUND(IF($F$476=0,0,I476/$F$476),5)</f>
        <v>0.96062000000000003</v>
      </c>
      <c r="J920" s="9">
        <f t="shared" si="221"/>
        <v>1.0000100000000001</v>
      </c>
      <c r="K920" s="9">
        <f t="shared" si="222"/>
        <v>-1.0000000000065512E-5</v>
      </c>
      <c r="L920" s="297">
        <v>1</v>
      </c>
      <c r="M920" s="308"/>
    </row>
    <row r="921" spans="1:13" s="2" customFormat="1">
      <c r="A921" s="8">
        <v>7</v>
      </c>
      <c r="B921" s="27"/>
      <c r="C921" s="21" t="s">
        <v>69</v>
      </c>
      <c r="D921" s="22" t="s">
        <v>14</v>
      </c>
      <c r="E921" s="26" t="s">
        <v>68</v>
      </c>
      <c r="F921" s="297">
        <v>1</v>
      </c>
      <c r="G921" s="30">
        <f>ROUND(IF($F$480=0,0,G480/$F$480),5)</f>
        <v>0</v>
      </c>
      <c r="H921" s="29">
        <f>ROUND(IF($F$480=0,0,H480/$F$480),5)</f>
        <v>6.11E-3</v>
      </c>
      <c r="I921" s="28">
        <f>ROUND(IF($F$480=0,0,I480/$F$480),5)</f>
        <v>0.99389000000000005</v>
      </c>
      <c r="J921" s="9">
        <f t="shared" si="221"/>
        <v>1</v>
      </c>
      <c r="K921" s="9">
        <f t="shared" si="222"/>
        <v>0</v>
      </c>
      <c r="L921" s="297">
        <v>1</v>
      </c>
      <c r="M921" s="308"/>
    </row>
    <row r="922" spans="1:13" s="2" customFormat="1">
      <c r="A922" s="8">
        <v>8</v>
      </c>
      <c r="B922" s="27"/>
      <c r="C922" s="21" t="s">
        <v>67</v>
      </c>
      <c r="D922" s="22" t="s">
        <v>14</v>
      </c>
      <c r="E922" s="26" t="s">
        <v>66</v>
      </c>
      <c r="F922" s="297">
        <v>1</v>
      </c>
      <c r="G922" s="30">
        <f>ROUND(IF($F$487=0,0,G487/$F$487),5)</f>
        <v>0</v>
      </c>
      <c r="H922" s="29">
        <f>ROUND(IF($F$487=0,0,H487/$F$487),5)</f>
        <v>1.6299999999999999E-3</v>
      </c>
      <c r="I922" s="28">
        <f>ROUND(IF($F$487=0,0,I487/$F$487),5)</f>
        <v>0.99836999999999998</v>
      </c>
      <c r="J922" s="9">
        <f t="shared" si="221"/>
        <v>1</v>
      </c>
      <c r="K922" s="9">
        <f t="shared" si="222"/>
        <v>0</v>
      </c>
      <c r="L922" s="297">
        <v>1</v>
      </c>
      <c r="M922" s="308"/>
    </row>
    <row r="923" spans="1:13" s="2" customFormat="1">
      <c r="A923" s="8">
        <v>9</v>
      </c>
      <c r="B923" s="27"/>
      <c r="C923" s="21" t="s">
        <v>65</v>
      </c>
      <c r="D923" s="22" t="s">
        <v>14</v>
      </c>
      <c r="E923" s="26" t="s">
        <v>64</v>
      </c>
      <c r="F923" s="297">
        <v>1</v>
      </c>
      <c r="G923" s="30">
        <f>ROUND(IF($F$502=0,0,G502/$F$502),5)</f>
        <v>0</v>
      </c>
      <c r="H923" s="29">
        <f>ROUND(IF($F$502=0,0,H502/$F$502),5)</f>
        <v>0</v>
      </c>
      <c r="I923" s="28">
        <f>ROUND(IF($F$502=0,0,I502/$F$502),5)</f>
        <v>1</v>
      </c>
      <c r="J923" s="9">
        <f t="shared" si="221"/>
        <v>1</v>
      </c>
      <c r="K923" s="9">
        <f t="shared" si="222"/>
        <v>0</v>
      </c>
      <c r="L923" s="297">
        <v>1</v>
      </c>
      <c r="M923" s="308"/>
    </row>
    <row r="924" spans="1:13" s="2" customFormat="1">
      <c r="A924" s="8">
        <v>10</v>
      </c>
      <c r="B924" s="27"/>
      <c r="C924" s="21" t="s">
        <v>63</v>
      </c>
      <c r="D924" s="22" t="s">
        <v>14</v>
      </c>
      <c r="E924" s="26" t="s">
        <v>62</v>
      </c>
      <c r="F924" s="297">
        <v>1</v>
      </c>
      <c r="G924" s="30">
        <f>ROUND(IF($F$506=0,0,G506/$F$506),5)</f>
        <v>0</v>
      </c>
      <c r="H924" s="29">
        <f>ROUND(IF($F$506=0,0,H506/$F$506),5)</f>
        <v>0</v>
      </c>
      <c r="I924" s="28">
        <f>ROUND(IF($F$506=0,0,I506/$F$506),5)</f>
        <v>1</v>
      </c>
      <c r="J924" s="9">
        <f t="shared" si="221"/>
        <v>1</v>
      </c>
      <c r="K924" s="9">
        <f t="shared" si="222"/>
        <v>0</v>
      </c>
      <c r="L924" s="297">
        <v>1</v>
      </c>
      <c r="M924" s="308"/>
    </row>
    <row r="925" spans="1:13" s="2" customFormat="1">
      <c r="A925" s="8">
        <v>11</v>
      </c>
      <c r="B925" s="27"/>
      <c r="C925" s="21" t="s">
        <v>61</v>
      </c>
      <c r="D925" s="22" t="s">
        <v>14</v>
      </c>
      <c r="E925" s="26" t="s">
        <v>60</v>
      </c>
      <c r="F925" s="297">
        <v>1</v>
      </c>
      <c r="G925" s="30">
        <f>ROUND(IF($F$533=0,0,G533/$F$533),5)-0.00001</f>
        <v>0.77196000000000009</v>
      </c>
      <c r="H925" s="29">
        <f>ROUND(IF($F$533=0,0,H533/$F$533),5)</f>
        <v>0.10412</v>
      </c>
      <c r="I925" s="28">
        <f>ROUND(IF($F$533=0,0,I533/$F$533),5)</f>
        <v>0.12391000000000001</v>
      </c>
      <c r="J925" s="9">
        <f t="shared" si="221"/>
        <v>0.99999000000000005</v>
      </c>
      <c r="K925" s="9">
        <f t="shared" si="222"/>
        <v>9.9999999999544897E-6</v>
      </c>
      <c r="L925" s="297">
        <v>1</v>
      </c>
      <c r="M925" s="308"/>
    </row>
    <row r="926" spans="1:13" s="2" customFormat="1">
      <c r="A926" s="8">
        <v>12</v>
      </c>
      <c r="B926" s="27"/>
      <c r="C926" s="32"/>
      <c r="D926" s="12"/>
      <c r="E926" s="13"/>
      <c r="F926" s="297"/>
      <c r="G926" s="30"/>
      <c r="H926" s="29"/>
      <c r="I926" s="28"/>
      <c r="J926" s="9"/>
      <c r="K926" s="9"/>
      <c r="L926" s="297"/>
      <c r="M926" s="308"/>
    </row>
    <row r="927" spans="1:13" s="2" customFormat="1">
      <c r="A927" s="8">
        <v>13</v>
      </c>
      <c r="B927" s="27" t="s">
        <v>59</v>
      </c>
      <c r="C927" s="3"/>
      <c r="D927" s="12"/>
      <c r="E927" s="13"/>
      <c r="F927" s="297"/>
      <c r="G927" s="30"/>
      <c r="H927" s="29"/>
      <c r="I927" s="28"/>
      <c r="J927" s="9"/>
      <c r="K927" s="9"/>
      <c r="L927" s="297"/>
      <c r="M927" s="308"/>
    </row>
    <row r="928" spans="1:13" s="2" customFormat="1">
      <c r="A928" s="8">
        <v>14</v>
      </c>
      <c r="B928" s="27"/>
      <c r="C928" s="32" t="s">
        <v>58</v>
      </c>
      <c r="D928" s="22" t="s">
        <v>14</v>
      </c>
      <c r="E928" s="13" t="s">
        <v>57</v>
      </c>
      <c r="F928" s="297">
        <v>1</v>
      </c>
      <c r="G928" s="30">
        <f>ROUND(IF($F$509=0,0,G509/$F$509),5)</f>
        <v>1</v>
      </c>
      <c r="H928" s="29">
        <f>ROUND(IF($F$509=0,0,H509/$F$509),5)</f>
        <v>0</v>
      </c>
      <c r="I928" s="28">
        <f>ROUND(IF($F$509=0,0,I509/$F$509),5)</f>
        <v>0</v>
      </c>
      <c r="J928" s="9"/>
      <c r="K928" s="9"/>
      <c r="L928" s="297">
        <v>1</v>
      </c>
      <c r="M928" s="308"/>
    </row>
    <row r="929" spans="1:13" s="2" customFormat="1">
      <c r="A929" s="8">
        <v>15</v>
      </c>
      <c r="B929" s="27"/>
      <c r="C929" s="32" t="s">
        <v>56</v>
      </c>
      <c r="D929" s="22" t="s">
        <v>14</v>
      </c>
      <c r="E929" s="13" t="s">
        <v>55</v>
      </c>
      <c r="F929" s="297">
        <v>1</v>
      </c>
      <c r="G929" s="30">
        <f>ROUND(IF($F$510=0,0,G510/$F$510),5)</f>
        <v>1</v>
      </c>
      <c r="H929" s="29">
        <f>ROUND(IF($F$510=0,0,H510/$F$510),5)</f>
        <v>0</v>
      </c>
      <c r="I929" s="28">
        <f>ROUND(IF($F$510=0,0,I510/$F$510),5)</f>
        <v>0</v>
      </c>
      <c r="J929" s="9">
        <f t="shared" ref="J929:J936" si="223">SUM(G929:I929)</f>
        <v>1</v>
      </c>
      <c r="K929" s="9">
        <f t="shared" ref="K929:K936" si="224">F929-J929</f>
        <v>0</v>
      </c>
      <c r="L929" s="297">
        <v>1</v>
      </c>
      <c r="M929" s="308"/>
    </row>
    <row r="930" spans="1:13" s="2" customFormat="1">
      <c r="A930" s="8">
        <v>16</v>
      </c>
      <c r="B930" s="27"/>
      <c r="C930" s="32" t="s">
        <v>54</v>
      </c>
      <c r="D930" s="22" t="s">
        <v>14</v>
      </c>
      <c r="E930" s="13" t="s">
        <v>53</v>
      </c>
      <c r="F930" s="297">
        <v>1</v>
      </c>
      <c r="G930" s="30">
        <f>ROUND(IF($F$511=0,0,G511/$F$511),5)</f>
        <v>0</v>
      </c>
      <c r="H930" s="29">
        <f>ROUND(IF($F$511=0,0,H511/$F$511),5)</f>
        <v>1</v>
      </c>
      <c r="I930" s="28">
        <f>ROUND(IF($F$511=0,0,I511/$F$511),5)</f>
        <v>0</v>
      </c>
      <c r="J930" s="9">
        <f t="shared" si="223"/>
        <v>1</v>
      </c>
      <c r="K930" s="9">
        <f t="shared" si="224"/>
        <v>0</v>
      </c>
      <c r="L930" s="297">
        <v>1</v>
      </c>
      <c r="M930" s="308"/>
    </row>
    <row r="931" spans="1:13" s="2" customFormat="1">
      <c r="A931" s="8">
        <v>17</v>
      </c>
      <c r="B931" s="27"/>
      <c r="C931" s="32" t="s">
        <v>52</v>
      </c>
      <c r="D931" s="22" t="s">
        <v>14</v>
      </c>
      <c r="E931" s="13" t="s">
        <v>51</v>
      </c>
      <c r="F931" s="297">
        <v>1</v>
      </c>
      <c r="G931" s="30">
        <f>ROUND(IF($F$512=0,0,G512/$F$512),5)</f>
        <v>3.9309999999999998E-2</v>
      </c>
      <c r="H931" s="29">
        <f>ROUND(IF($F$512=0,0,H512/$F$512),5)</f>
        <v>6.9999999999999994E-5</v>
      </c>
      <c r="I931" s="28">
        <f>ROUND(IF($F$512=0,0,I512/$F$512),5)</f>
        <v>0.96062000000000003</v>
      </c>
      <c r="J931" s="9">
        <f t="shared" si="223"/>
        <v>1</v>
      </c>
      <c r="K931" s="9">
        <f t="shared" si="224"/>
        <v>0</v>
      </c>
      <c r="L931" s="297">
        <v>1</v>
      </c>
      <c r="M931" s="308"/>
    </row>
    <row r="932" spans="1:13" s="2" customFormat="1">
      <c r="A932" s="8">
        <v>18</v>
      </c>
      <c r="B932" s="27"/>
      <c r="C932" s="32" t="s">
        <v>50</v>
      </c>
      <c r="D932" s="22" t="s">
        <v>14</v>
      </c>
      <c r="E932" s="13" t="s">
        <v>49</v>
      </c>
      <c r="F932" s="297">
        <v>1</v>
      </c>
      <c r="G932" s="30">
        <f>ROUND(IF($F$513=0,0,G513/$F$513),5)</f>
        <v>0</v>
      </c>
      <c r="H932" s="29">
        <f>ROUND(IF($F$513=0,0,H513/$F$513),5)</f>
        <v>1.6299999999999999E-3</v>
      </c>
      <c r="I932" s="28">
        <f>ROUND(IF($F$513=0,0,I513/$F$513),5)</f>
        <v>0.99836999999999998</v>
      </c>
      <c r="J932" s="9">
        <f t="shared" si="223"/>
        <v>1</v>
      </c>
      <c r="K932" s="9">
        <f t="shared" si="224"/>
        <v>0</v>
      </c>
      <c r="L932" s="297">
        <v>1</v>
      </c>
      <c r="M932" s="308"/>
    </row>
    <row r="933" spans="1:13" s="2" customFormat="1">
      <c r="A933" s="8">
        <v>19</v>
      </c>
      <c r="B933" s="27"/>
      <c r="C933" s="32" t="s">
        <v>48</v>
      </c>
      <c r="D933" s="22" t="s">
        <v>14</v>
      </c>
      <c r="E933" s="13" t="s">
        <v>47</v>
      </c>
      <c r="F933" s="297">
        <v>1</v>
      </c>
      <c r="G933" s="30">
        <f>ROUND(IF($F$514=0,0,G514/$F$514),5)</f>
        <v>0</v>
      </c>
      <c r="H933" s="29">
        <f>ROUND(IF($F$514=0,0,H514/$F$514),5)</f>
        <v>0</v>
      </c>
      <c r="I933" s="28">
        <f>ROUND(IF($F$514=0,0,I514/$F$514),5)</f>
        <v>1</v>
      </c>
      <c r="J933" s="9">
        <f t="shared" si="223"/>
        <v>1</v>
      </c>
      <c r="K933" s="9">
        <f t="shared" si="224"/>
        <v>0</v>
      </c>
      <c r="L933" s="297">
        <v>1</v>
      </c>
      <c r="M933" s="308"/>
    </row>
    <row r="934" spans="1:13" s="2" customFormat="1">
      <c r="A934" s="8">
        <v>20</v>
      </c>
      <c r="B934" s="27"/>
      <c r="C934" s="32" t="s">
        <v>46</v>
      </c>
      <c r="D934" s="22" t="s">
        <v>14</v>
      </c>
      <c r="E934" s="13" t="s">
        <v>45</v>
      </c>
      <c r="F934" s="297">
        <v>1</v>
      </c>
      <c r="G934" s="30">
        <f>ROUND(IF($F$515=0,0,G515/$F$515),5)</f>
        <v>0</v>
      </c>
      <c r="H934" s="29">
        <f>ROUND(IF($F$515=0,0,H515/$F$515),5)</f>
        <v>0</v>
      </c>
      <c r="I934" s="28">
        <f>ROUND(IF($F$515=0,0,I515/$F$515),5)</f>
        <v>0</v>
      </c>
      <c r="J934" s="9">
        <f t="shared" si="223"/>
        <v>0</v>
      </c>
      <c r="K934" s="9">
        <f t="shared" si="224"/>
        <v>1</v>
      </c>
      <c r="L934" s="297">
        <v>1</v>
      </c>
      <c r="M934" s="308"/>
    </row>
    <row r="935" spans="1:13" s="2" customFormat="1">
      <c r="A935" s="8">
        <v>21</v>
      </c>
      <c r="B935" s="27"/>
      <c r="C935" s="32" t="s">
        <v>44</v>
      </c>
      <c r="D935" s="22" t="s">
        <v>14</v>
      </c>
      <c r="E935" s="13" t="s">
        <v>43</v>
      </c>
      <c r="F935" s="297">
        <v>1</v>
      </c>
      <c r="G935" s="30">
        <f>1-H935-I935</f>
        <v>0.58716000000000013</v>
      </c>
      <c r="H935" s="29">
        <f>ROUND(IF($F$516=0,0,H516/$F$516),5)</f>
        <v>5.2850000000000001E-2</v>
      </c>
      <c r="I935" s="28">
        <f>ROUND(IF($F$516=0,0,I516/$F$516),5)</f>
        <v>0.35998999999999998</v>
      </c>
      <c r="J935" s="9">
        <f t="shared" si="223"/>
        <v>1</v>
      </c>
      <c r="K935" s="9">
        <f t="shared" si="224"/>
        <v>0</v>
      </c>
      <c r="L935" s="297">
        <v>1</v>
      </c>
      <c r="M935" s="308"/>
    </row>
    <row r="936" spans="1:13" s="2" customFormat="1">
      <c r="A936" s="8">
        <v>22</v>
      </c>
      <c r="B936" s="27"/>
      <c r="C936" s="32" t="s">
        <v>42</v>
      </c>
      <c r="D936" s="22" t="s">
        <v>14</v>
      </c>
      <c r="E936" s="13" t="s">
        <v>5</v>
      </c>
      <c r="F936" s="297">
        <v>1</v>
      </c>
      <c r="G936" s="30">
        <f>ROUND(IF($F$531=0,0,G531/$F$531),5)</f>
        <v>0.58716000000000002</v>
      </c>
      <c r="H936" s="29">
        <f>ROUND(IF($F$531=0,0,H531/$F$531),5)</f>
        <v>5.2850000000000001E-2</v>
      </c>
      <c r="I936" s="28">
        <f>ROUND(IF($F$531=0,0,I531/$F$531),5)</f>
        <v>0.35998999999999998</v>
      </c>
      <c r="J936" s="9">
        <f t="shared" si="223"/>
        <v>1</v>
      </c>
      <c r="K936" s="9">
        <f t="shared" si="224"/>
        <v>0</v>
      </c>
      <c r="L936" s="297">
        <v>1</v>
      </c>
      <c r="M936" s="308"/>
    </row>
    <row r="937" spans="1:13" s="2" customFormat="1">
      <c r="A937" s="8">
        <v>23</v>
      </c>
      <c r="B937" s="27"/>
      <c r="C937" s="32"/>
      <c r="D937" s="12"/>
      <c r="E937" s="13"/>
      <c r="F937" s="297"/>
      <c r="G937" s="30"/>
      <c r="H937" s="29"/>
      <c r="I937" s="28"/>
      <c r="J937" s="9"/>
      <c r="K937" s="9"/>
      <c r="L937" s="297"/>
      <c r="M937" s="308"/>
    </row>
    <row r="938" spans="1:13" s="2" customFormat="1">
      <c r="A938" s="8">
        <v>24</v>
      </c>
      <c r="B938" s="31" t="s">
        <v>41</v>
      </c>
      <c r="C938" s="32"/>
      <c r="D938" s="12"/>
      <c r="E938" s="13"/>
      <c r="F938" s="297"/>
      <c r="G938" s="30"/>
      <c r="H938" s="29"/>
      <c r="I938" s="28"/>
      <c r="J938" s="9"/>
      <c r="K938" s="9"/>
      <c r="L938" s="297"/>
      <c r="M938" s="308"/>
    </row>
    <row r="939" spans="1:13" s="2" customFormat="1">
      <c r="A939" s="8">
        <v>25</v>
      </c>
      <c r="B939" s="27"/>
      <c r="C939" s="21" t="s">
        <v>40</v>
      </c>
      <c r="D939" s="22" t="s">
        <v>14</v>
      </c>
      <c r="E939" s="26" t="s">
        <v>39</v>
      </c>
      <c r="F939" s="297">
        <v>1</v>
      </c>
      <c r="G939" s="30">
        <f>ROUND(IF(F547=0,0,G547/F547),5)</f>
        <v>1</v>
      </c>
      <c r="H939" s="29">
        <f>ROUND(IF(G547=0,0,H547/G547),5)</f>
        <v>0</v>
      </c>
      <c r="I939" s="28">
        <f>ROUND(IF(H547=0,0,I547/H547),5)</f>
        <v>0</v>
      </c>
      <c r="J939" s="9">
        <f t="shared" ref="J939:J944" si="225">SUM(G939:I939)</f>
        <v>1</v>
      </c>
      <c r="K939" s="9">
        <f t="shared" ref="K939:K944" si="226">F939-J939</f>
        <v>0</v>
      </c>
      <c r="L939" s="297">
        <v>1</v>
      </c>
      <c r="M939" s="308"/>
    </row>
    <row r="940" spans="1:13" s="2" customFormat="1">
      <c r="A940" s="8">
        <v>26</v>
      </c>
      <c r="B940" s="27"/>
      <c r="C940" s="21" t="s">
        <v>38</v>
      </c>
      <c r="D940" s="22" t="s">
        <v>14</v>
      </c>
      <c r="E940" s="26" t="s">
        <v>37</v>
      </c>
      <c r="F940" s="297">
        <v>1</v>
      </c>
      <c r="G940" s="30">
        <f>ROUND(IF($F$551=0,0,G551/$F$551),5)</f>
        <v>0</v>
      </c>
      <c r="H940" s="29">
        <f>ROUND(IF($F$551=0,0,H551/$F$551),5)</f>
        <v>1</v>
      </c>
      <c r="I940" s="28">
        <f>ROUND(IF($F$551=0,0,I551/$F$551),5)</f>
        <v>0</v>
      </c>
      <c r="J940" s="9">
        <f t="shared" si="225"/>
        <v>1</v>
      </c>
      <c r="K940" s="9">
        <f t="shared" si="226"/>
        <v>0</v>
      </c>
      <c r="L940" s="297">
        <v>1</v>
      </c>
      <c r="M940" s="308"/>
    </row>
    <row r="941" spans="1:13" s="2" customFormat="1">
      <c r="A941" s="8">
        <v>27</v>
      </c>
      <c r="B941" s="27"/>
      <c r="C941" s="21" t="s">
        <v>36</v>
      </c>
      <c r="D941" s="22" t="s">
        <v>14</v>
      </c>
      <c r="E941" s="26" t="s">
        <v>35</v>
      </c>
      <c r="F941" s="297">
        <v>1</v>
      </c>
      <c r="G941" s="30">
        <f>ROUND(IF($F$555=0,0,G555/$F$555),5)</f>
        <v>0</v>
      </c>
      <c r="H941" s="29">
        <f>ROUND(IF($F$555=0,0,H555/$F$555),5)</f>
        <v>2.0000000000000001E-4</v>
      </c>
      <c r="I941" s="28">
        <f>ROUND(IF($F$555=0,0,I555/$F$555),5)</f>
        <v>0.99980000000000002</v>
      </c>
      <c r="J941" s="9">
        <f t="shared" si="225"/>
        <v>1</v>
      </c>
      <c r="K941" s="9">
        <f t="shared" si="226"/>
        <v>0</v>
      </c>
      <c r="L941" s="297">
        <v>1</v>
      </c>
      <c r="M941" s="308"/>
    </row>
    <row r="942" spans="1:13" s="2" customFormat="1">
      <c r="A942" s="8">
        <v>28</v>
      </c>
      <c r="B942" s="27"/>
      <c r="C942" s="21" t="s">
        <v>34</v>
      </c>
      <c r="D942" s="22" t="s">
        <v>14</v>
      </c>
      <c r="E942" s="26" t="s">
        <v>33</v>
      </c>
      <c r="F942" s="297">
        <v>1</v>
      </c>
      <c r="G942" s="30">
        <f>ROUND(IF($F$559=0,0,G559/$F$559),5)</f>
        <v>0.72462000000000004</v>
      </c>
      <c r="H942" s="29">
        <f>ROUND(IF($F$559=0,0,H559/$F$559),5)</f>
        <v>5.2839999999999998E-2</v>
      </c>
      <c r="I942" s="28">
        <f>ROUND(IF($F$559=0,0,I559/$F$559),5)</f>
        <v>0.22253999999999999</v>
      </c>
      <c r="J942" s="9">
        <f t="shared" si="225"/>
        <v>1</v>
      </c>
      <c r="K942" s="9">
        <f t="shared" si="226"/>
        <v>0</v>
      </c>
      <c r="L942" s="297">
        <v>1</v>
      </c>
      <c r="M942" s="308"/>
    </row>
    <row r="943" spans="1:13" s="2" customFormat="1">
      <c r="A943" s="8">
        <v>29</v>
      </c>
      <c r="B943" s="27"/>
      <c r="C943" s="21" t="s">
        <v>32</v>
      </c>
      <c r="D943" s="22" t="s">
        <v>14</v>
      </c>
      <c r="E943" s="26" t="s">
        <v>31</v>
      </c>
      <c r="F943" s="297">
        <v>1</v>
      </c>
      <c r="G943" s="30">
        <f>ROUND(IF($F$563=0,0,G563/$F$563),5)</f>
        <v>0.70404999999999995</v>
      </c>
      <c r="H943" s="29">
        <f>ROUND(IF($F$563=0,0,H563/$F$563),5)</f>
        <v>5.2839999999999998E-2</v>
      </c>
      <c r="I943" s="28">
        <f>ROUND(IF($F$563=0,0,I563/$F$563),5)</f>
        <v>0.24310999999999999</v>
      </c>
      <c r="J943" s="9">
        <f t="shared" si="225"/>
        <v>1</v>
      </c>
      <c r="K943" s="9">
        <f t="shared" si="226"/>
        <v>0</v>
      </c>
      <c r="L943" s="297">
        <v>1</v>
      </c>
      <c r="M943" s="308"/>
    </row>
    <row r="944" spans="1:13" s="2" customFormat="1">
      <c r="A944" s="8">
        <v>30</v>
      </c>
      <c r="B944" s="27"/>
      <c r="C944" s="21" t="s">
        <v>30</v>
      </c>
      <c r="D944" s="22" t="s">
        <v>14</v>
      </c>
      <c r="E944" s="26" t="s">
        <v>29</v>
      </c>
      <c r="F944" s="297">
        <v>1</v>
      </c>
      <c r="G944" s="30">
        <f>1-H944-I944</f>
        <v>0.66481000000000001</v>
      </c>
      <c r="H944" s="29">
        <f>ROUND(IF($F$566=0,0,H566/$F$566),5)</f>
        <v>3.918E-2</v>
      </c>
      <c r="I944" s="28">
        <f>ROUND(IF($F$566=0,0,I566/$F$566),5)</f>
        <v>0.29601</v>
      </c>
      <c r="J944" s="9">
        <f t="shared" si="225"/>
        <v>1</v>
      </c>
      <c r="K944" s="9">
        <f t="shared" si="226"/>
        <v>0</v>
      </c>
      <c r="L944" s="297">
        <v>1</v>
      </c>
      <c r="M944" s="308"/>
    </row>
    <row r="945" spans="1:13" s="2" customFormat="1">
      <c r="A945" s="8">
        <v>31</v>
      </c>
      <c r="B945" s="27"/>
      <c r="C945" s="32"/>
      <c r="D945" s="12"/>
      <c r="E945" s="13"/>
      <c r="F945" s="304"/>
      <c r="G945" s="41"/>
      <c r="H945" s="40"/>
      <c r="I945" s="39"/>
      <c r="J945" s="38"/>
      <c r="K945" s="38"/>
      <c r="L945" s="304"/>
      <c r="M945" s="308"/>
    </row>
    <row r="946" spans="1:13" s="2" customFormat="1">
      <c r="A946" s="8">
        <v>32</v>
      </c>
      <c r="B946" s="31" t="s">
        <v>28</v>
      </c>
      <c r="C946" s="32"/>
      <c r="D946" s="12"/>
      <c r="E946" s="13"/>
      <c r="F946" s="305"/>
      <c r="G946" s="36"/>
      <c r="H946" s="35"/>
      <c r="I946" s="34"/>
      <c r="J946" s="33"/>
      <c r="K946" s="33"/>
      <c r="L946" s="305"/>
      <c r="M946" s="308"/>
    </row>
    <row r="947" spans="1:13" s="2" customFormat="1">
      <c r="A947" s="8">
        <v>33</v>
      </c>
      <c r="B947" s="27"/>
      <c r="C947" s="21" t="s">
        <v>27</v>
      </c>
      <c r="D947" s="22" t="s">
        <v>14</v>
      </c>
      <c r="E947" s="26" t="s">
        <v>26</v>
      </c>
      <c r="F947" s="297">
        <v>1</v>
      </c>
      <c r="G947" s="30">
        <f>ROUND(IF(F582=0,0,G582/F582),5)</f>
        <v>0.58630000000000004</v>
      </c>
      <c r="H947" s="29">
        <f>ROUND(IF(F582=0,0,H582/F582),5)</f>
        <v>5.3460000000000001E-2</v>
      </c>
      <c r="I947" s="28">
        <f>ROUND(IF(F582=0,0,I582/F582),5)</f>
        <v>0.36024</v>
      </c>
      <c r="J947" s="9">
        <f>SUM(G947:I947)</f>
        <v>1</v>
      </c>
      <c r="K947" s="9">
        <f>F947-J947</f>
        <v>0</v>
      </c>
      <c r="L947" s="297">
        <v>1</v>
      </c>
      <c r="M947" s="308"/>
    </row>
    <row r="948" spans="1:13" s="2" customFormat="1">
      <c r="A948" s="8">
        <v>34</v>
      </c>
      <c r="B948" s="27"/>
      <c r="C948" s="21" t="s">
        <v>25</v>
      </c>
      <c r="D948" s="22" t="s">
        <v>14</v>
      </c>
      <c r="E948" s="26" t="s">
        <v>24</v>
      </c>
      <c r="F948" s="297">
        <v>1</v>
      </c>
      <c r="G948" s="30">
        <f>ROUND(IF(F589=0,0,G589/F589),5)</f>
        <v>0.58716000000000002</v>
      </c>
      <c r="H948" s="29">
        <f>ROUND(IF(F589=0,0,H589/F589),5)</f>
        <v>5.2850000000000001E-2</v>
      </c>
      <c r="I948" s="28">
        <f>ROUND(IF(F589=0,0,I589/F589),5)</f>
        <v>0.35998999999999998</v>
      </c>
      <c r="J948" s="9">
        <f>SUM(G948:I948)</f>
        <v>1</v>
      </c>
      <c r="K948" s="9">
        <f>F948-J948</f>
        <v>0</v>
      </c>
      <c r="L948" s="297">
        <v>1</v>
      </c>
      <c r="M948" s="308"/>
    </row>
    <row r="949" spans="1:13" s="2" customFormat="1">
      <c r="A949" s="8">
        <v>35</v>
      </c>
      <c r="B949" s="27"/>
      <c r="C949" s="21" t="s">
        <v>23</v>
      </c>
      <c r="D949" s="22" t="s">
        <v>14</v>
      </c>
      <c r="E949" s="26" t="s">
        <v>22</v>
      </c>
      <c r="F949" s="297">
        <v>1</v>
      </c>
      <c r="G949" s="30">
        <f>1-H949-I949</f>
        <v>0.58644000000000007</v>
      </c>
      <c r="H949" s="29">
        <f>ROUND(IF(F601=0,0,H601/F601),5)</f>
        <v>5.3359999999999998E-2</v>
      </c>
      <c r="I949" s="28">
        <f>ROUND(IF(F601=0,0,I601/F601),5)</f>
        <v>0.36020000000000002</v>
      </c>
      <c r="J949" s="9">
        <f>SUM(G949:I949)</f>
        <v>1</v>
      </c>
      <c r="K949" s="9">
        <f>F949-J949</f>
        <v>0</v>
      </c>
      <c r="L949" s="297">
        <v>1</v>
      </c>
      <c r="M949" s="308"/>
    </row>
    <row r="950" spans="1:13" s="2" customFormat="1">
      <c r="A950" s="8">
        <v>36</v>
      </c>
      <c r="B950" s="27"/>
      <c r="C950" s="21" t="s">
        <v>21</v>
      </c>
      <c r="D950" s="22" t="s">
        <v>14</v>
      </c>
      <c r="E950" s="26" t="s">
        <v>20</v>
      </c>
      <c r="F950" s="297">
        <v>1</v>
      </c>
      <c r="G950" s="30">
        <f>1-H950-I950</f>
        <v>0.74439999999999995</v>
      </c>
      <c r="H950" s="29">
        <f>ROUND(IF(F602=0,0,H602/F602),5)</f>
        <v>9.0190000000000006E-2</v>
      </c>
      <c r="I950" s="28">
        <f>ROUND(IF(F602=0,0,I602/F602),5)</f>
        <v>0.16541</v>
      </c>
      <c r="J950" s="9">
        <f>SUM(G950:I950)</f>
        <v>1</v>
      </c>
      <c r="K950" s="9">
        <f>F950-J950</f>
        <v>0</v>
      </c>
      <c r="L950" s="297">
        <v>1</v>
      </c>
      <c r="M950" s="308"/>
    </row>
    <row r="951" spans="1:13" s="2" customFormat="1">
      <c r="A951" s="8">
        <v>37</v>
      </c>
      <c r="B951" s="27"/>
      <c r="C951" s="32"/>
      <c r="D951" s="12"/>
      <c r="E951" s="13"/>
      <c r="F951" s="297"/>
      <c r="G951" s="30"/>
      <c r="H951" s="29"/>
      <c r="I951" s="28"/>
      <c r="J951" s="9"/>
      <c r="K951" s="9"/>
      <c r="L951" s="297"/>
      <c r="M951" s="308"/>
    </row>
    <row r="952" spans="1:13" s="2" customFormat="1">
      <c r="A952" s="8">
        <v>38</v>
      </c>
      <c r="B952" s="31" t="s">
        <v>19</v>
      </c>
      <c r="C952" s="32"/>
      <c r="D952" s="12"/>
      <c r="E952" s="13"/>
      <c r="F952" s="297"/>
      <c r="G952" s="30"/>
      <c r="H952" s="29"/>
      <c r="I952" s="28"/>
      <c r="J952" s="9"/>
      <c r="K952" s="9"/>
      <c r="L952" s="297"/>
      <c r="M952" s="308"/>
    </row>
    <row r="953" spans="1:13" s="2" customFormat="1">
      <c r="A953" s="12">
        <v>39</v>
      </c>
      <c r="B953" s="32"/>
      <c r="C953" s="21" t="s">
        <v>18</v>
      </c>
      <c r="D953" s="22" t="s">
        <v>14</v>
      </c>
      <c r="E953" s="26" t="s">
        <v>17</v>
      </c>
      <c r="F953" s="297">
        <v>1</v>
      </c>
      <c r="G953" s="30">
        <f>ROUND(IF(F754=0,0,G754/F754),9)</f>
        <v>0.74337537099999995</v>
      </c>
      <c r="H953" s="29">
        <f>ROUND(IF(F754=0,0,H754/F754),9)</f>
        <v>7.9923240000000006E-2</v>
      </c>
      <c r="I953" s="28">
        <f>ROUND(IF(F754=0,0,I754/F754),9)</f>
        <v>0.176700994</v>
      </c>
      <c r="J953" s="9">
        <f>SUM(G953:I953)</f>
        <v>0.99999960499999996</v>
      </c>
      <c r="K953" s="9">
        <f>F953-J953</f>
        <v>3.9500000004188962E-7</v>
      </c>
      <c r="L953" s="297">
        <v>1</v>
      </c>
      <c r="M953" s="308"/>
    </row>
    <row r="954" spans="1:13" s="2" customFormat="1">
      <c r="A954" s="8">
        <v>40</v>
      </c>
      <c r="B954" s="27"/>
      <c r="C954" s="21"/>
      <c r="D954" s="22"/>
      <c r="E954" s="26"/>
      <c r="F954" s="297"/>
      <c r="G954" s="30"/>
      <c r="H954" s="29"/>
      <c r="I954" s="28"/>
      <c r="J954" s="9"/>
      <c r="K954" s="9"/>
      <c r="L954" s="297"/>
      <c r="M954" s="308"/>
    </row>
    <row r="955" spans="1:13" s="2" customFormat="1">
      <c r="A955" s="8">
        <v>41</v>
      </c>
      <c r="B955" s="31" t="s">
        <v>16</v>
      </c>
      <c r="C955" s="3"/>
      <c r="D955" s="22"/>
      <c r="E955" s="26"/>
      <c r="F955" s="297"/>
      <c r="G955" s="30"/>
      <c r="H955" s="29"/>
      <c r="I955" s="28"/>
      <c r="J955" s="9"/>
      <c r="K955" s="9"/>
      <c r="L955" s="297"/>
      <c r="M955" s="308"/>
    </row>
    <row r="956" spans="1:13" s="2" customFormat="1">
      <c r="A956" s="8">
        <v>42</v>
      </c>
      <c r="B956" s="27"/>
      <c r="C956" s="21" t="s">
        <v>15</v>
      </c>
      <c r="D956" s="22" t="s">
        <v>14</v>
      </c>
      <c r="E956" s="26" t="s">
        <v>13</v>
      </c>
      <c r="F956" s="297"/>
      <c r="G956" s="25"/>
      <c r="H956" s="24"/>
      <c r="I956" s="23"/>
      <c r="J956" s="9"/>
      <c r="K956" s="9"/>
      <c r="L956" s="297"/>
      <c r="M956" s="308"/>
    </row>
    <row r="957" spans="1:13" s="2" customFormat="1">
      <c r="A957" s="1"/>
      <c r="B957" s="1"/>
      <c r="C957" s="21"/>
      <c r="D957" s="22"/>
      <c r="E957" s="3"/>
      <c r="F957" s="286"/>
      <c r="G957" s="1"/>
      <c r="H957" s="1"/>
      <c r="I957" s="1"/>
      <c r="J957" s="3"/>
      <c r="K957" s="3"/>
      <c r="L957" s="286"/>
      <c r="M957" s="308"/>
    </row>
    <row r="958" spans="1:13" s="2" customFormat="1">
      <c r="A958" s="1"/>
      <c r="B958" s="1"/>
      <c r="C958" s="21"/>
      <c r="D958" s="22"/>
      <c r="E958" s="3"/>
      <c r="F958" s="286"/>
      <c r="G958" s="1"/>
      <c r="H958" s="1"/>
      <c r="I958" s="1"/>
      <c r="J958" s="3"/>
      <c r="K958" s="3"/>
      <c r="L958" s="286"/>
      <c r="M958" s="308"/>
    </row>
    <row r="959" spans="1:13" s="2" customFormat="1">
      <c r="A959" s="1"/>
      <c r="B959" s="1"/>
      <c r="C959" s="21"/>
      <c r="D959" s="22"/>
      <c r="E959" s="3"/>
      <c r="F959" s="286"/>
      <c r="G959" s="1"/>
      <c r="H959" s="1"/>
      <c r="I959" s="1"/>
      <c r="J959" s="3"/>
      <c r="K959" s="3"/>
      <c r="L959" s="286"/>
      <c r="M959" s="308"/>
    </row>
    <row r="960" spans="1:13" s="2" customFormat="1">
      <c r="A960" s="1"/>
      <c r="B960" s="1"/>
      <c r="C960" s="21"/>
      <c r="D960" s="22"/>
      <c r="E960" s="3"/>
      <c r="F960" s="286"/>
      <c r="G960" s="1"/>
      <c r="H960" s="1"/>
      <c r="I960" s="1"/>
      <c r="J960" s="3"/>
      <c r="K960" s="3"/>
      <c r="L960" s="286"/>
      <c r="M960" s="308"/>
    </row>
    <row r="961" spans="1:13">
      <c r="C961" s="21"/>
      <c r="D961" s="22"/>
      <c r="J961" s="3"/>
      <c r="K961" s="3"/>
    </row>
    <row r="962" spans="1:13">
      <c r="C962" s="21"/>
      <c r="D962" s="22"/>
      <c r="J962" s="3"/>
      <c r="K962" s="3"/>
    </row>
    <row r="963" spans="1:13">
      <c r="C963" s="21"/>
      <c r="D963" s="22"/>
      <c r="J963" s="3"/>
      <c r="K963" s="3"/>
    </row>
    <row r="964" spans="1:13">
      <c r="J964" s="3"/>
      <c r="K964" s="3"/>
    </row>
    <row r="965" spans="1:13">
      <c r="J965" s="3"/>
      <c r="K965" s="3"/>
    </row>
    <row r="966" spans="1:13" s="3" customFormat="1">
      <c r="A966" s="12">
        <v>1</v>
      </c>
      <c r="B966" s="21" t="s">
        <v>12</v>
      </c>
      <c r="D966" s="20"/>
      <c r="E966" s="4"/>
      <c r="F966" s="299"/>
      <c r="G966" s="10"/>
      <c r="L966" s="299"/>
      <c r="M966" s="308"/>
    </row>
    <row r="967" spans="1:13" s="3" customFormat="1">
      <c r="A967" s="12">
        <v>2</v>
      </c>
      <c r="B967" s="18"/>
      <c r="C967" s="17" t="s">
        <v>11</v>
      </c>
      <c r="D967" s="16"/>
      <c r="E967" s="15" t="s">
        <v>5</v>
      </c>
      <c r="F967" s="296">
        <f>ROUND(0.06889*0,0)</f>
        <v>0</v>
      </c>
      <c r="G967" s="10">
        <f>ROUND(F967*VLOOKUP(E967,ALLOCTABLE_FUNCTIONAL,H10,FALSE),0)</f>
        <v>0</v>
      </c>
      <c r="H967" s="10">
        <f t="shared" ref="H967:H972" si="227">ROUND(F967*VLOOKUP(E967,ALLOCTABLE_FUNCTIONAL,$H$10,FALSE),0)</f>
        <v>0</v>
      </c>
      <c r="I967" s="10">
        <f t="shared" ref="I967:I972" si="228">ROUND(F967*VLOOKUP(E967,ALLOCTABLE_FUNCTIONAL,$I$10,FALSE),0)</f>
        <v>0</v>
      </c>
      <c r="J967" s="9">
        <f t="shared" ref="J967:J972" si="229">SUM(G967:I967)</f>
        <v>0</v>
      </c>
      <c r="K967" s="9">
        <f t="shared" ref="K967:K972" si="230">F967-J967</f>
        <v>0</v>
      </c>
      <c r="L967" s="296">
        <v>0</v>
      </c>
      <c r="M967" s="308"/>
    </row>
    <row r="968" spans="1:13" s="3" customFormat="1">
      <c r="A968" s="12">
        <v>3</v>
      </c>
      <c r="C968" s="7" t="s">
        <v>10</v>
      </c>
      <c r="D968" s="6"/>
      <c r="E968" s="13" t="s">
        <v>5</v>
      </c>
      <c r="F968" s="306">
        <v>0</v>
      </c>
      <c r="G968" s="10">
        <f>ROUND(F968*VLOOKUP(E968,ALLOCTABLE_FUNCTIONAL,H10,FALSE),0)</f>
        <v>0</v>
      </c>
      <c r="H968" s="10">
        <f t="shared" si="227"/>
        <v>0</v>
      </c>
      <c r="I968" s="10">
        <f t="shared" si="228"/>
        <v>0</v>
      </c>
      <c r="J968" s="9">
        <f t="shared" si="229"/>
        <v>0</v>
      </c>
      <c r="K968" s="9">
        <f t="shared" si="230"/>
        <v>0</v>
      </c>
      <c r="L968" s="306">
        <v>0</v>
      </c>
      <c r="M968" s="308"/>
    </row>
    <row r="969" spans="1:13" s="3" customFormat="1">
      <c r="A969" s="12">
        <v>4</v>
      </c>
      <c r="C969" s="7" t="s">
        <v>9</v>
      </c>
      <c r="D969" s="6"/>
      <c r="E969" s="13" t="s">
        <v>5</v>
      </c>
      <c r="F969" s="306">
        <v>0</v>
      </c>
      <c r="G969" s="10">
        <f>ROUND(F969*VLOOKUP(E969,ALLOCTABLE_FUNCTIONAL,H10,FALSE),0)</f>
        <v>0</v>
      </c>
      <c r="H969" s="10">
        <f t="shared" si="227"/>
        <v>0</v>
      </c>
      <c r="I969" s="10">
        <f t="shared" si="228"/>
        <v>0</v>
      </c>
      <c r="J969" s="9">
        <f t="shared" si="229"/>
        <v>0</v>
      </c>
      <c r="K969" s="9">
        <f t="shared" si="230"/>
        <v>0</v>
      </c>
      <c r="L969" s="306">
        <v>0</v>
      </c>
      <c r="M969" s="308"/>
    </row>
    <row r="970" spans="1:13" s="3" customFormat="1">
      <c r="A970" s="12">
        <v>5</v>
      </c>
      <c r="C970" s="7" t="s">
        <v>8</v>
      </c>
      <c r="D970" s="6" t="s">
        <v>3</v>
      </c>
      <c r="E970" s="11" t="s">
        <v>7</v>
      </c>
      <c r="F970" s="306">
        <v>0</v>
      </c>
      <c r="G970" s="10">
        <f>ROUND(F970*VLOOKUP(E970,ALLOCTABLE_FUNCTIONAL,H10,FALSE),0)</f>
        <v>0</v>
      </c>
      <c r="H970" s="10">
        <f t="shared" si="227"/>
        <v>0</v>
      </c>
      <c r="I970" s="10">
        <f t="shared" si="228"/>
        <v>0</v>
      </c>
      <c r="J970" s="9">
        <f t="shared" si="229"/>
        <v>0</v>
      </c>
      <c r="K970" s="9">
        <f t="shared" si="230"/>
        <v>0</v>
      </c>
      <c r="L970" s="306">
        <v>0</v>
      </c>
      <c r="M970" s="308"/>
    </row>
    <row r="971" spans="1:13" s="3" customFormat="1">
      <c r="A971" s="12">
        <v>6</v>
      </c>
      <c r="C971" s="7" t="s">
        <v>6</v>
      </c>
      <c r="D971" s="6"/>
      <c r="E971" s="11" t="s">
        <v>5</v>
      </c>
      <c r="F971" s="306">
        <v>0</v>
      </c>
      <c r="G971" s="10">
        <f>ROUND(F971*VLOOKUP(E971,ALLOCTABLE_FUNCTIONAL,H10,FALSE),0)</f>
        <v>0</v>
      </c>
      <c r="H971" s="10">
        <f t="shared" si="227"/>
        <v>0</v>
      </c>
      <c r="I971" s="10">
        <f t="shared" si="228"/>
        <v>0</v>
      </c>
      <c r="J971" s="9">
        <f t="shared" si="229"/>
        <v>0</v>
      </c>
      <c r="K971" s="9">
        <f t="shared" si="230"/>
        <v>0</v>
      </c>
      <c r="L971" s="306">
        <v>0</v>
      </c>
      <c r="M971" s="308"/>
    </row>
    <row r="972" spans="1:13" s="3" customFormat="1">
      <c r="A972" s="12">
        <v>7</v>
      </c>
      <c r="C972" s="7" t="s">
        <v>4</v>
      </c>
      <c r="D972" s="6" t="s">
        <v>3</v>
      </c>
      <c r="E972" s="11" t="s">
        <v>2</v>
      </c>
      <c r="F972" s="306">
        <v>0</v>
      </c>
      <c r="G972" s="10">
        <f>ROUND(F972*VLOOKUP(E972,ALLOCTABLE_FUNCTIONAL,H10,FALSE),0)</f>
        <v>0</v>
      </c>
      <c r="H972" s="10">
        <f t="shared" si="227"/>
        <v>0</v>
      </c>
      <c r="I972" s="10">
        <f t="shared" si="228"/>
        <v>0</v>
      </c>
      <c r="J972" s="9">
        <f t="shared" si="229"/>
        <v>0</v>
      </c>
      <c r="K972" s="9">
        <f t="shared" si="230"/>
        <v>0</v>
      </c>
      <c r="L972" s="306">
        <v>0</v>
      </c>
      <c r="M972" s="308"/>
    </row>
    <row r="973" spans="1:13">
      <c r="A973" s="8">
        <v>8</v>
      </c>
      <c r="C973" s="7" t="s">
        <v>1</v>
      </c>
      <c r="D973" s="6" t="s">
        <v>0</v>
      </c>
      <c r="E973" s="4"/>
      <c r="F973" s="307">
        <f t="shared" ref="F973:K973" si="231">SUM(F967:F972)</f>
        <v>0</v>
      </c>
      <c r="G973" s="5">
        <f t="shared" si="231"/>
        <v>0</v>
      </c>
      <c r="H973" s="5">
        <f t="shared" si="231"/>
        <v>0</v>
      </c>
      <c r="I973" s="5">
        <f t="shared" si="231"/>
        <v>0</v>
      </c>
      <c r="J973" s="5">
        <f t="shared" si="231"/>
        <v>0</v>
      </c>
      <c r="K973" s="5">
        <f t="shared" si="231"/>
        <v>0</v>
      </c>
      <c r="L973" s="307">
        <v>0</v>
      </c>
    </row>
    <row r="974" spans="1:13">
      <c r="J974" s="3"/>
      <c r="K974" s="3"/>
    </row>
    <row r="975" spans="1:13">
      <c r="J975" s="3"/>
      <c r="K975" s="3"/>
    </row>
    <row r="976" spans="1:13">
      <c r="J976" s="3"/>
      <c r="K976" s="3"/>
    </row>
    <row r="977" spans="4:13" s="3" customFormat="1">
      <c r="D977" s="4"/>
      <c r="F977" s="286"/>
      <c r="G977" s="1"/>
      <c r="H977" s="1"/>
      <c r="I977" s="1"/>
      <c r="L977" s="286"/>
      <c r="M977" s="308"/>
    </row>
    <row r="978" spans="4:13" s="3" customFormat="1">
      <c r="D978" s="4"/>
      <c r="F978" s="286"/>
      <c r="G978" s="1"/>
      <c r="H978" s="1"/>
      <c r="I978" s="1"/>
      <c r="L978" s="286"/>
      <c r="M978" s="308"/>
    </row>
  </sheetData>
  <pageMargins left="0.75" right="0.75" top="1" bottom="1" header="0.5" footer="0.5"/>
  <pageSetup scale="64" orientation="landscape" blackAndWhite="1" r:id="rId1"/>
  <headerFooter alignWithMargins="0">
    <oddHeader>&amp;R&amp;"Times New Roman,Bold"&amp;10KyPSC Case No. 2017-00321
STAFF-DR-01-029 Attachment
Page &amp;P of &amp;N</oddHeader>
  </headerFooter>
  <rowBreaks count="16" manualBreakCount="16">
    <brk id="30" max="10" man="1"/>
    <brk id="107" max="10" man="1"/>
    <brk id="184" max="10" man="1"/>
    <brk id="261" max="10" man="1"/>
    <brk id="308" max="10" man="1"/>
    <brk id="361" max="10" man="1"/>
    <brk id="417" max="10" man="1"/>
    <brk id="487" max="10" man="1"/>
    <brk id="533" max="10" man="1"/>
    <brk id="566" max="10" man="1"/>
    <brk id="602" max="10" man="1"/>
    <brk id="712" max="10" man="1"/>
    <brk id="761" max="10" man="1"/>
    <brk id="801" max="10" man="1"/>
    <brk id="852" max="16383" man="1"/>
    <brk id="90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abSelected="1" topLeftCell="J1" workbookViewId="0">
      <selection activeCell="U4" sqref="U4"/>
    </sheetView>
  </sheetViews>
  <sheetFormatPr defaultRowHeight="15"/>
  <cols>
    <col min="3" max="4" width="10.36328125" bestFit="1" customWidth="1"/>
    <col min="7" max="7" width="10.36328125" bestFit="1" customWidth="1"/>
    <col min="8" max="8" width="11.1796875" bestFit="1" customWidth="1"/>
    <col min="10" max="10" width="14.453125" bestFit="1" customWidth="1"/>
    <col min="11" max="11" width="13.6328125" bestFit="1" customWidth="1"/>
    <col min="14" max="14" width="12.90625" bestFit="1" customWidth="1"/>
    <col min="15" max="15" width="26.6328125" customWidth="1"/>
    <col min="16" max="16" width="11.90625" style="379" customWidth="1"/>
    <col min="17" max="17" width="8.90625" style="379"/>
    <col min="18" max="18" width="12.54296875" style="379" bestFit="1" customWidth="1"/>
    <col min="19" max="19" width="10.81640625" style="379" bestFit="1" customWidth="1"/>
    <col min="20" max="20" width="11.6328125" style="379" bestFit="1" customWidth="1"/>
    <col min="21" max="22" width="9.36328125" style="379" bestFit="1" customWidth="1"/>
    <col min="23" max="23" width="9" style="379" bestFit="1" customWidth="1"/>
    <col min="24" max="31" width="8.90625" style="378"/>
  </cols>
  <sheetData>
    <row r="1" spans="1:23">
      <c r="A1" s="330" t="s">
        <v>597</v>
      </c>
      <c r="B1" s="329"/>
      <c r="C1" s="329"/>
      <c r="D1" s="329"/>
      <c r="E1" s="329"/>
      <c r="F1" s="329"/>
      <c r="G1" s="377"/>
      <c r="H1" s="329"/>
      <c r="I1" s="329"/>
      <c r="J1" s="329"/>
      <c r="K1" s="329"/>
      <c r="L1" s="329"/>
      <c r="M1" s="376" t="s">
        <v>598</v>
      </c>
      <c r="N1" s="329"/>
      <c r="O1" s="329"/>
      <c r="P1" s="380"/>
      <c r="Q1" s="380"/>
      <c r="R1" s="380"/>
      <c r="S1" s="380"/>
      <c r="T1" s="380"/>
      <c r="U1" s="392" t="s">
        <v>706</v>
      </c>
      <c r="V1" s="380"/>
      <c r="W1" s="380"/>
    </row>
    <row r="2" spans="1:23">
      <c r="A2" s="330" t="s">
        <v>599</v>
      </c>
      <c r="B2" s="329"/>
      <c r="C2" s="329"/>
      <c r="D2" s="329"/>
      <c r="E2" s="329"/>
      <c r="F2" s="329"/>
      <c r="G2" s="377"/>
      <c r="H2" s="329"/>
      <c r="I2" s="329"/>
      <c r="J2" s="329"/>
      <c r="K2" s="329"/>
      <c r="L2" s="329"/>
      <c r="M2" s="376" t="s">
        <v>600</v>
      </c>
      <c r="N2" s="329"/>
      <c r="O2" s="329"/>
      <c r="P2" s="380"/>
      <c r="Q2" s="380"/>
      <c r="R2" s="380"/>
      <c r="S2" s="380"/>
      <c r="T2" s="380"/>
      <c r="U2" s="392" t="s">
        <v>705</v>
      </c>
      <c r="V2" s="380"/>
      <c r="W2" s="380"/>
    </row>
    <row r="3" spans="1:23">
      <c r="A3" s="330" t="s">
        <v>601</v>
      </c>
      <c r="B3" s="329"/>
      <c r="C3" s="329"/>
      <c r="D3" s="329"/>
      <c r="E3" s="329"/>
      <c r="F3" s="329"/>
      <c r="G3" s="329"/>
      <c r="H3" s="329"/>
      <c r="I3" s="329"/>
      <c r="J3" s="329"/>
      <c r="K3" s="329"/>
      <c r="L3" s="329"/>
      <c r="M3" s="376" t="s">
        <v>602</v>
      </c>
      <c r="N3" s="329"/>
      <c r="O3" s="329"/>
      <c r="P3" s="380"/>
      <c r="Q3" s="380"/>
      <c r="R3" s="380"/>
      <c r="S3" s="380"/>
      <c r="T3" s="380"/>
      <c r="U3" s="398" t="s">
        <v>710</v>
      </c>
      <c r="V3" s="380"/>
      <c r="W3" s="380"/>
    </row>
    <row r="4" spans="1:23">
      <c r="A4" s="330" t="s">
        <v>603</v>
      </c>
      <c r="B4" s="329"/>
      <c r="C4" s="329"/>
      <c r="D4" s="329"/>
      <c r="E4" s="329"/>
      <c r="F4" s="329"/>
      <c r="G4" s="329"/>
      <c r="H4" s="329"/>
      <c r="I4" s="329"/>
      <c r="J4" s="329"/>
      <c r="K4" s="329"/>
      <c r="L4" s="329"/>
      <c r="M4" s="375" t="s">
        <v>604</v>
      </c>
      <c r="N4" s="329"/>
      <c r="O4" s="329"/>
      <c r="P4" s="380"/>
      <c r="Q4" s="380"/>
      <c r="R4" s="380"/>
      <c r="S4" s="380"/>
      <c r="T4" s="380"/>
      <c r="U4" s="380"/>
      <c r="V4" s="380"/>
      <c r="W4" s="380"/>
    </row>
    <row r="5" spans="1:23">
      <c r="A5" s="330" t="s">
        <v>605</v>
      </c>
      <c r="B5" s="329"/>
      <c r="C5" s="329"/>
      <c r="D5" s="329"/>
      <c r="E5" s="329"/>
      <c r="F5" s="329"/>
      <c r="G5" s="329"/>
      <c r="H5" s="329"/>
      <c r="I5" s="329"/>
      <c r="J5" s="329"/>
      <c r="K5" s="329"/>
      <c r="L5" s="329"/>
      <c r="M5" s="329"/>
      <c r="N5" s="329"/>
      <c r="O5" s="329"/>
      <c r="P5" s="380"/>
      <c r="Q5" s="380"/>
      <c r="R5" s="380"/>
      <c r="S5" s="380"/>
      <c r="T5" s="380"/>
      <c r="U5" s="380"/>
      <c r="V5" s="380"/>
      <c r="W5" s="380"/>
    </row>
    <row r="6" spans="1:23">
      <c r="P6" s="380"/>
      <c r="Q6" s="380"/>
      <c r="R6" s="380"/>
      <c r="S6" s="380"/>
      <c r="T6" s="380"/>
      <c r="U6" s="380"/>
      <c r="V6" s="380"/>
      <c r="W6" s="380"/>
    </row>
    <row r="7" spans="1:23">
      <c r="P7" s="380" t="s">
        <v>682</v>
      </c>
      <c r="Q7" s="380"/>
      <c r="R7" s="380"/>
      <c r="S7" s="380"/>
      <c r="T7" s="380"/>
      <c r="U7" s="380"/>
      <c r="V7" s="380"/>
      <c r="W7" s="380"/>
    </row>
    <row r="8" spans="1:23">
      <c r="A8" s="329"/>
      <c r="B8" s="329"/>
      <c r="C8" s="329"/>
      <c r="D8" s="329"/>
      <c r="E8" s="329"/>
      <c r="F8" s="329"/>
      <c r="G8" s="332" t="s">
        <v>606</v>
      </c>
      <c r="H8" s="373" t="s">
        <v>607</v>
      </c>
      <c r="I8" s="373" t="s">
        <v>607</v>
      </c>
      <c r="J8" s="329"/>
      <c r="K8" s="329"/>
      <c r="L8" s="329"/>
      <c r="M8" s="329"/>
      <c r="N8" s="329"/>
      <c r="O8" s="329"/>
      <c r="P8" s="381" t="s">
        <v>683</v>
      </c>
      <c r="Q8" s="380"/>
      <c r="R8" s="380"/>
      <c r="S8" s="380"/>
      <c r="T8" s="380"/>
      <c r="U8" s="380"/>
      <c r="V8" s="380"/>
      <c r="W8" s="380" t="s">
        <v>688</v>
      </c>
    </row>
    <row r="9" spans="1:23">
      <c r="A9" s="332"/>
      <c r="B9" s="332"/>
      <c r="C9" s="332" t="s">
        <v>608</v>
      </c>
      <c r="D9" s="332"/>
      <c r="E9" s="332"/>
      <c r="F9" s="332"/>
      <c r="G9" s="332" t="s">
        <v>609</v>
      </c>
      <c r="H9" s="373" t="s">
        <v>610</v>
      </c>
      <c r="I9" s="373" t="s">
        <v>610</v>
      </c>
      <c r="J9" s="332" t="s">
        <v>611</v>
      </c>
      <c r="K9" s="374" t="s">
        <v>612</v>
      </c>
      <c r="L9" s="332" t="s">
        <v>613</v>
      </c>
      <c r="M9" s="332" t="s">
        <v>614</v>
      </c>
      <c r="N9" s="369" t="s">
        <v>615</v>
      </c>
      <c r="O9" s="329"/>
      <c r="P9" s="381" t="s">
        <v>610</v>
      </c>
      <c r="Q9" s="380" t="s">
        <v>689</v>
      </c>
      <c r="R9" s="380"/>
      <c r="S9" s="380"/>
      <c r="T9" s="380" t="s">
        <v>690</v>
      </c>
      <c r="U9" s="380" t="s">
        <v>692</v>
      </c>
      <c r="V9" s="380" t="s">
        <v>691</v>
      </c>
      <c r="W9" s="380" t="s">
        <v>613</v>
      </c>
    </row>
    <row r="10" spans="1:23">
      <c r="A10" s="332"/>
      <c r="B10" s="332"/>
      <c r="C10" s="332" t="s">
        <v>616</v>
      </c>
      <c r="D10" s="332" t="s">
        <v>606</v>
      </c>
      <c r="E10" s="332" t="s">
        <v>617</v>
      </c>
      <c r="F10" s="332" t="s">
        <v>606</v>
      </c>
      <c r="G10" s="332" t="s">
        <v>618</v>
      </c>
      <c r="H10" s="332" t="s">
        <v>619</v>
      </c>
      <c r="I10" s="373" t="s">
        <v>620</v>
      </c>
      <c r="J10" s="332" t="s">
        <v>621</v>
      </c>
      <c r="K10" s="372" t="s">
        <v>622</v>
      </c>
      <c r="L10" s="332" t="s">
        <v>623</v>
      </c>
      <c r="M10" s="332" t="s">
        <v>624</v>
      </c>
      <c r="N10" s="369" t="s">
        <v>625</v>
      </c>
      <c r="O10" s="329"/>
      <c r="P10" s="381" t="s">
        <v>684</v>
      </c>
      <c r="Q10" s="380" t="s">
        <v>613</v>
      </c>
      <c r="R10" s="380" t="s">
        <v>693</v>
      </c>
      <c r="S10" s="380" t="s">
        <v>693</v>
      </c>
      <c r="T10" s="380" t="s">
        <v>694</v>
      </c>
      <c r="U10" s="380" t="s">
        <v>609</v>
      </c>
      <c r="V10" s="380" t="s">
        <v>631</v>
      </c>
      <c r="W10" s="380" t="s">
        <v>695</v>
      </c>
    </row>
    <row r="11" spans="1:23">
      <c r="A11" s="332" t="s">
        <v>626</v>
      </c>
      <c r="B11" s="332"/>
      <c r="C11" s="332" t="s">
        <v>627</v>
      </c>
      <c r="D11" s="332" t="s">
        <v>609</v>
      </c>
      <c r="E11" s="332" t="s">
        <v>628</v>
      </c>
      <c r="F11" s="332" t="s">
        <v>614</v>
      </c>
      <c r="G11" s="332" t="s">
        <v>614</v>
      </c>
      <c r="H11" s="332" t="s">
        <v>629</v>
      </c>
      <c r="I11" s="371">
        <v>0.1</v>
      </c>
      <c r="J11" s="332" t="s">
        <v>630</v>
      </c>
      <c r="K11" s="370" t="s">
        <v>610</v>
      </c>
      <c r="L11" s="332" t="s">
        <v>631</v>
      </c>
      <c r="M11" s="332" t="s">
        <v>632</v>
      </c>
      <c r="N11" s="369" t="s">
        <v>633</v>
      </c>
      <c r="O11" s="329"/>
      <c r="P11" s="381" t="s">
        <v>685</v>
      </c>
      <c r="Q11" s="380" t="s">
        <v>696</v>
      </c>
      <c r="R11" s="380" t="s">
        <v>697</v>
      </c>
      <c r="S11" s="380" t="s">
        <v>698</v>
      </c>
      <c r="T11" s="380" t="s">
        <v>699</v>
      </c>
      <c r="U11" s="380" t="s">
        <v>700</v>
      </c>
      <c r="V11" s="380" t="s">
        <v>700</v>
      </c>
      <c r="W11" s="380" t="s">
        <v>697</v>
      </c>
    </row>
    <row r="12" spans="1:23">
      <c r="A12" s="368" t="s">
        <v>634</v>
      </c>
      <c r="B12" s="368" t="s">
        <v>635</v>
      </c>
      <c r="C12" s="368" t="s">
        <v>636</v>
      </c>
      <c r="D12" s="368" t="s">
        <v>637</v>
      </c>
      <c r="E12" s="368" t="s">
        <v>638</v>
      </c>
      <c r="F12" s="368" t="s">
        <v>639</v>
      </c>
      <c r="G12" s="368" t="s">
        <v>640</v>
      </c>
      <c r="H12" s="368" t="s">
        <v>641</v>
      </c>
      <c r="I12" s="368" t="s">
        <v>642</v>
      </c>
      <c r="J12" s="368" t="s">
        <v>643</v>
      </c>
      <c r="K12" s="368" t="s">
        <v>644</v>
      </c>
      <c r="L12" s="368" t="s">
        <v>645</v>
      </c>
      <c r="M12" s="368" t="s">
        <v>646</v>
      </c>
      <c r="N12" s="367" t="s">
        <v>647</v>
      </c>
      <c r="O12" s="397" t="s">
        <v>635</v>
      </c>
      <c r="P12" s="382" t="s">
        <v>686</v>
      </c>
      <c r="Q12" s="383" t="s">
        <v>631</v>
      </c>
      <c r="R12" s="383" t="s">
        <v>701</v>
      </c>
      <c r="S12" s="383" t="s">
        <v>702</v>
      </c>
      <c r="T12" s="383" t="s">
        <v>703</v>
      </c>
      <c r="U12" s="383" t="s">
        <v>697</v>
      </c>
      <c r="V12" s="383" t="s">
        <v>697</v>
      </c>
      <c r="W12" s="383" t="s">
        <v>704</v>
      </c>
    </row>
    <row r="13" spans="1:23" ht="66">
      <c r="A13" s="332"/>
      <c r="B13" s="332"/>
      <c r="C13" s="363" t="s">
        <v>648</v>
      </c>
      <c r="D13" s="363" t="s">
        <v>648</v>
      </c>
      <c r="E13" s="363" t="s">
        <v>649</v>
      </c>
      <c r="F13" s="332" t="s">
        <v>650</v>
      </c>
      <c r="G13" s="363" t="s">
        <v>651</v>
      </c>
      <c r="H13" s="366" t="s">
        <v>652</v>
      </c>
      <c r="I13" s="332" t="s">
        <v>653</v>
      </c>
      <c r="J13" s="365" t="s">
        <v>654</v>
      </c>
      <c r="K13" s="362" t="s">
        <v>655</v>
      </c>
      <c r="L13" s="364" t="s">
        <v>656</v>
      </c>
      <c r="M13" s="363" t="s">
        <v>657</v>
      </c>
      <c r="N13" s="362" t="s">
        <v>658</v>
      </c>
      <c r="O13" s="378"/>
      <c r="P13" s="380"/>
      <c r="Q13" s="380"/>
      <c r="R13" s="380"/>
      <c r="S13" s="380"/>
      <c r="T13" s="380"/>
      <c r="U13" s="380"/>
      <c r="V13" s="380"/>
      <c r="W13" s="380"/>
    </row>
    <row r="14" spans="1:23">
      <c r="A14" s="329"/>
      <c r="B14" s="329"/>
      <c r="C14" s="329"/>
      <c r="D14" s="329"/>
      <c r="E14" s="329"/>
      <c r="F14" s="329"/>
      <c r="G14" s="329"/>
      <c r="H14" s="329"/>
      <c r="I14" s="329"/>
      <c r="J14" s="329"/>
      <c r="K14" s="329"/>
      <c r="L14" s="329"/>
      <c r="M14" s="329"/>
      <c r="N14" s="329"/>
      <c r="O14" s="378"/>
      <c r="P14" s="380"/>
      <c r="Q14" s="380"/>
      <c r="R14" s="380"/>
      <c r="S14" s="380"/>
      <c r="T14" s="380"/>
      <c r="U14" s="380"/>
      <c r="V14" s="380"/>
      <c r="W14" s="380"/>
    </row>
    <row r="15" spans="1:23">
      <c r="A15" s="332">
        <v>1</v>
      </c>
      <c r="B15" s="330" t="s">
        <v>659</v>
      </c>
      <c r="C15" s="360">
        <v>317425709</v>
      </c>
      <c r="D15" s="360">
        <v>120391018</v>
      </c>
      <c r="E15" s="360">
        <v>3124836.3089848757</v>
      </c>
      <c r="F15" s="357">
        <v>9.8440000000000003E-3</v>
      </c>
      <c r="G15" s="361">
        <v>129927706</v>
      </c>
      <c r="H15" s="360">
        <v>-9536688</v>
      </c>
      <c r="I15" s="360">
        <v>-953667</v>
      </c>
      <c r="J15" s="360">
        <v>21901356.130174</v>
      </c>
      <c r="K15" s="361">
        <v>143246041.13017401</v>
      </c>
      <c r="L15" s="334">
        <v>0.18984000000000001</v>
      </c>
      <c r="M15" s="354">
        <v>5.4143469999999999E-2</v>
      </c>
      <c r="N15" s="360">
        <v>22855023.130174</v>
      </c>
      <c r="O15" s="378" t="str">
        <f>B15</f>
        <v>Rate RS</v>
      </c>
      <c r="P15" s="384">
        <f>H15/D15</f>
        <v>-7.9214281583697546E-2</v>
      </c>
      <c r="Q15" s="384">
        <f>N15/D15</f>
        <v>0.18983993581791958</v>
      </c>
      <c r="R15" s="385">
        <f>-($R$30/2)*C15/$C$27</f>
        <v>-2384738.4861480324</v>
      </c>
      <c r="S15" s="385">
        <f>IF(H15&gt;0,-($R$30/2)*H15/$R$29,0)</f>
        <v>0</v>
      </c>
      <c r="T15" s="386">
        <f>N15+R15+S15</f>
        <v>20470284.644025967</v>
      </c>
      <c r="U15" s="386">
        <f>T15+D15</f>
        <v>140861302.64402598</v>
      </c>
      <c r="V15" s="387">
        <f>U15/D15-1</f>
        <v>0.17003166003651526</v>
      </c>
      <c r="W15" s="387">
        <f>U15/K15-1</f>
        <v>-1.66478491645079E-2</v>
      </c>
    </row>
    <row r="16" spans="1:23">
      <c r="A16" s="332">
        <v>2</v>
      </c>
      <c r="B16" s="330" t="s">
        <v>660</v>
      </c>
      <c r="C16" s="358">
        <v>200757632</v>
      </c>
      <c r="D16" s="358">
        <v>89967454</v>
      </c>
      <c r="E16" s="358">
        <v>11187968</v>
      </c>
      <c r="F16" s="357">
        <v>5.5729000000000001E-2</v>
      </c>
      <c r="G16" s="356">
        <v>81026932</v>
      </c>
      <c r="H16" s="358">
        <v>8940522</v>
      </c>
      <c r="I16" s="358">
        <v>894052</v>
      </c>
      <c r="J16" s="358">
        <v>13851622.544724001</v>
      </c>
      <c r="K16" s="359">
        <v>102925024.544724</v>
      </c>
      <c r="L16" s="334">
        <v>0.14402499999999999</v>
      </c>
      <c r="M16" s="354">
        <v>9.5439430000000006E-2</v>
      </c>
      <c r="N16" s="358">
        <v>12957570.544724001</v>
      </c>
      <c r="O16" s="378" t="str">
        <f t="shared" ref="O16:O27" si="0">B16</f>
        <v>Rate DS</v>
      </c>
      <c r="P16" s="384">
        <f t="shared" ref="P16:P27" si="1">H16/D16</f>
        <v>9.9375069566823571E-2</v>
      </c>
      <c r="Q16" s="384">
        <f t="shared" ref="Q16:Q27" si="2">N16/D16</f>
        <v>0.14402508872512942</v>
      </c>
      <c r="R16" s="385">
        <f t="shared" ref="R16:R25" si="3">-($R$30/2)*C16/$C$27</f>
        <v>-1508240.9453430371</v>
      </c>
      <c r="S16" s="385">
        <f t="shared" ref="S16:S25" si="4">IF(H16&gt;0,-($R$30/2)*H16/$R$29,0)</f>
        <v>-4143472.5229917686</v>
      </c>
      <c r="T16" s="386">
        <f t="shared" ref="T16:T27" si="5">N16+R16+S16</f>
        <v>7305857.0763891935</v>
      </c>
      <c r="U16" s="386">
        <f t="shared" ref="U16:U27" si="6">T16+D16</f>
        <v>97273311.076389194</v>
      </c>
      <c r="V16" s="387">
        <f t="shared" ref="V16:V27" si="7">U16/D16-1</f>
        <v>8.120555547108399E-2</v>
      </c>
      <c r="W16" s="387">
        <f t="shared" ref="W16:W27" si="8">U16/K16-1</f>
        <v>-5.4910975181540755E-2</v>
      </c>
    </row>
    <row r="17" spans="1:23">
      <c r="A17" s="332">
        <v>3</v>
      </c>
      <c r="B17" s="330" t="s">
        <v>661</v>
      </c>
      <c r="C17" s="353">
        <v>932077</v>
      </c>
      <c r="D17" s="353">
        <v>589997</v>
      </c>
      <c r="E17" s="353">
        <v>129751</v>
      </c>
      <c r="F17" s="357">
        <v>0.139206</v>
      </c>
      <c r="G17" s="356">
        <v>422024</v>
      </c>
      <c r="H17" s="353">
        <v>167973</v>
      </c>
      <c r="I17" s="353">
        <v>16797</v>
      </c>
      <c r="J17" s="353">
        <v>64310.305484000004</v>
      </c>
      <c r="K17" s="355">
        <v>637510.30548400001</v>
      </c>
      <c r="L17" s="334">
        <v>8.0531000000000005E-2</v>
      </c>
      <c r="M17" s="354">
        <v>0.17056943999999999</v>
      </c>
      <c r="N17" s="353">
        <v>47513.305484000004</v>
      </c>
      <c r="O17" s="378" t="str">
        <f t="shared" si="0"/>
        <v>Rate GS-FL</v>
      </c>
      <c r="P17" s="384">
        <f t="shared" si="1"/>
        <v>0.28470144763447952</v>
      </c>
      <c r="Q17" s="384">
        <f t="shared" si="2"/>
        <v>8.0531435725944372E-2</v>
      </c>
      <c r="R17" s="385">
        <f t="shared" si="3"/>
        <v>-7002.4570503626082</v>
      </c>
      <c r="S17" s="385">
        <f t="shared" si="4"/>
        <v>-77846.853920218113</v>
      </c>
      <c r="T17" s="386">
        <f t="shared" si="5"/>
        <v>-37336.005486580718</v>
      </c>
      <c r="U17" s="386">
        <f t="shared" si="6"/>
        <v>552660.99451341922</v>
      </c>
      <c r="V17" s="387">
        <f t="shared" si="7"/>
        <v>-6.3281687002782694E-2</v>
      </c>
      <c r="W17" s="387">
        <f t="shared" si="8"/>
        <v>-0.13309480684577002</v>
      </c>
    </row>
    <row r="18" spans="1:23">
      <c r="A18" s="332">
        <v>4</v>
      </c>
      <c r="B18" s="330" t="s">
        <v>662</v>
      </c>
      <c r="C18" s="353">
        <v>3472840</v>
      </c>
      <c r="D18" s="355">
        <v>623628</v>
      </c>
      <c r="E18" s="355">
        <v>-418272</v>
      </c>
      <c r="F18" s="357">
        <v>-0.12044100000000001</v>
      </c>
      <c r="G18" s="356">
        <v>1463366</v>
      </c>
      <c r="H18" s="353">
        <v>-839738</v>
      </c>
      <c r="I18" s="353">
        <v>-83974</v>
      </c>
      <c r="J18" s="353">
        <v>239631.28957199998</v>
      </c>
      <c r="K18" s="355">
        <v>947233.28957200004</v>
      </c>
      <c r="L18" s="334">
        <v>0.51890800000000004</v>
      </c>
      <c r="M18" s="354">
        <v>-6.3110260000000001E-2</v>
      </c>
      <c r="N18" s="353">
        <v>323605.28957199998</v>
      </c>
      <c r="O18" s="378" t="str">
        <f t="shared" si="0"/>
        <v>Rate EH</v>
      </c>
      <c r="P18" s="384">
        <f t="shared" si="1"/>
        <v>-1.3465367174020411</v>
      </c>
      <c r="Q18" s="384">
        <f t="shared" si="2"/>
        <v>0.51890756921113224</v>
      </c>
      <c r="R18" s="385">
        <f t="shared" si="3"/>
        <v>-26090.562199025706</v>
      </c>
      <c r="S18" s="385">
        <f t="shared" si="4"/>
        <v>0</v>
      </c>
      <c r="T18" s="386">
        <f t="shared" si="5"/>
        <v>297514.72737297427</v>
      </c>
      <c r="U18" s="386">
        <f t="shared" si="6"/>
        <v>921142.72737297427</v>
      </c>
      <c r="V18" s="387">
        <f t="shared" si="7"/>
        <v>0.47707082968207692</v>
      </c>
      <c r="W18" s="387">
        <f t="shared" si="8"/>
        <v>-2.754396671469872E-2</v>
      </c>
    </row>
    <row r="19" spans="1:23">
      <c r="A19" s="332">
        <v>5</v>
      </c>
      <c r="B19" s="330" t="s">
        <v>663</v>
      </c>
      <c r="C19" s="353">
        <v>57138</v>
      </c>
      <c r="D19" s="353">
        <v>28730</v>
      </c>
      <c r="E19" s="353">
        <v>5292</v>
      </c>
      <c r="F19" s="357">
        <v>9.2618000000000006E-2</v>
      </c>
      <c r="G19" s="356">
        <v>22760</v>
      </c>
      <c r="H19" s="353">
        <v>5970</v>
      </c>
      <c r="I19" s="353">
        <v>597</v>
      </c>
      <c r="J19" s="353">
        <v>3940.3439820000003</v>
      </c>
      <c r="K19" s="355">
        <v>32073.343981999999</v>
      </c>
      <c r="L19" s="334">
        <v>0.116371</v>
      </c>
      <c r="M19" s="354">
        <v>0.12861866</v>
      </c>
      <c r="N19" s="353">
        <v>3343.3439820000003</v>
      </c>
      <c r="O19" s="378" t="str">
        <f t="shared" si="0"/>
        <v>Rate SP</v>
      </c>
      <c r="P19" s="384">
        <f t="shared" si="1"/>
        <v>0.20779672815871911</v>
      </c>
      <c r="Q19" s="384">
        <f t="shared" si="2"/>
        <v>0.11637117932474766</v>
      </c>
      <c r="R19" s="385">
        <f t="shared" si="3"/>
        <v>-429.26323784796614</v>
      </c>
      <c r="S19" s="385">
        <f t="shared" si="4"/>
        <v>-2766.788221343324</v>
      </c>
      <c r="T19" s="386">
        <f t="shared" si="5"/>
        <v>147.29252280871015</v>
      </c>
      <c r="U19" s="386">
        <f t="shared" si="6"/>
        <v>28877.292522808712</v>
      </c>
      <c r="V19" s="387">
        <f t="shared" si="7"/>
        <v>5.1267846435332221E-3</v>
      </c>
      <c r="W19" s="387">
        <f t="shared" si="8"/>
        <v>-9.9648214448264438E-2</v>
      </c>
    </row>
    <row r="20" spans="1:23">
      <c r="A20" s="332">
        <v>6</v>
      </c>
      <c r="B20" s="330" t="s">
        <v>664</v>
      </c>
      <c r="C20" s="353">
        <v>91880872</v>
      </c>
      <c r="D20" s="353">
        <v>45903624</v>
      </c>
      <c r="E20" s="353">
        <v>3817007</v>
      </c>
      <c r="F20" s="357">
        <v>4.1542999999999997E-2</v>
      </c>
      <c r="G20" s="356">
        <v>43930272</v>
      </c>
      <c r="H20" s="353">
        <v>1973352</v>
      </c>
      <c r="I20" s="353">
        <v>197335</v>
      </c>
      <c r="J20" s="353">
        <v>6339478.3585959999</v>
      </c>
      <c r="K20" s="355">
        <v>52045767.358595997</v>
      </c>
      <c r="L20" s="334">
        <v>0.13380500000000001</v>
      </c>
      <c r="M20" s="354">
        <v>8.2672250000000003E-2</v>
      </c>
      <c r="N20" s="353">
        <v>6142143.3585959999</v>
      </c>
      <c r="O20" s="378" t="str">
        <f t="shared" si="0"/>
        <v>Rate DT - Secondary</v>
      </c>
      <c r="P20" s="384">
        <f t="shared" si="1"/>
        <v>4.2989024134565061E-2</v>
      </c>
      <c r="Q20" s="384">
        <f t="shared" si="2"/>
        <v>0.13380519495794058</v>
      </c>
      <c r="R20" s="385">
        <f t="shared" si="3"/>
        <v>-690277.58428741863</v>
      </c>
      <c r="S20" s="385">
        <f t="shared" si="4"/>
        <v>-914547.24793371698</v>
      </c>
      <c r="T20" s="386">
        <f t="shared" si="5"/>
        <v>4537318.5263748635</v>
      </c>
      <c r="U20" s="386">
        <f t="shared" si="6"/>
        <v>50440942.526374862</v>
      </c>
      <c r="V20" s="387">
        <f t="shared" si="7"/>
        <v>9.884445128721997E-2</v>
      </c>
      <c r="W20" s="387">
        <f t="shared" si="8"/>
        <v>-3.0834876949048962E-2</v>
      </c>
    </row>
    <row r="21" spans="1:23">
      <c r="A21" s="332">
        <v>7</v>
      </c>
      <c r="B21" s="330" t="s">
        <v>665</v>
      </c>
      <c r="C21" s="353">
        <v>62892854</v>
      </c>
      <c r="D21" s="353">
        <v>30722085</v>
      </c>
      <c r="E21" s="353">
        <v>1348318</v>
      </c>
      <c r="F21" s="357">
        <v>2.1437999999999999E-2</v>
      </c>
      <c r="G21" s="356">
        <v>31426461</v>
      </c>
      <c r="H21" s="353">
        <v>-704376</v>
      </c>
      <c r="I21" s="353">
        <v>-70438</v>
      </c>
      <c r="J21" s="353">
        <v>4339388.9410660006</v>
      </c>
      <c r="K21" s="355">
        <v>35131911.941065997</v>
      </c>
      <c r="L21" s="334">
        <v>0.143539</v>
      </c>
      <c r="M21" s="354">
        <v>6.4577949999999995E-2</v>
      </c>
      <c r="N21" s="353">
        <v>4409826.9410660006</v>
      </c>
      <c r="O21" s="378" t="str">
        <f t="shared" si="0"/>
        <v>Rate DT-Primary</v>
      </c>
      <c r="P21" s="384">
        <f t="shared" si="1"/>
        <v>-2.2927350145668823E-2</v>
      </c>
      <c r="Q21" s="384">
        <f t="shared" si="2"/>
        <v>0.14353931190106403</v>
      </c>
      <c r="R21" s="385">
        <f t="shared" si="3"/>
        <v>-472497.98987607908</v>
      </c>
      <c r="S21" s="385">
        <f t="shared" si="4"/>
        <v>0</v>
      </c>
      <c r="T21" s="386">
        <f t="shared" si="5"/>
        <v>3937328.9511899217</v>
      </c>
      <c r="U21" s="386">
        <f t="shared" si="6"/>
        <v>34659413.95118992</v>
      </c>
      <c r="V21" s="387">
        <f t="shared" si="7"/>
        <v>0.12815956180024624</v>
      </c>
      <c r="W21" s="387">
        <f t="shared" si="8"/>
        <v>-1.3449253506859993E-2</v>
      </c>
    </row>
    <row r="22" spans="1:23">
      <c r="A22" s="332">
        <v>8</v>
      </c>
      <c r="B22" s="330" t="s">
        <v>666</v>
      </c>
      <c r="C22" s="353">
        <v>2273698</v>
      </c>
      <c r="D22" s="353">
        <v>926746</v>
      </c>
      <c r="E22" s="353">
        <v>-1938</v>
      </c>
      <c r="F22" s="357">
        <v>-8.52E-4</v>
      </c>
      <c r="G22" s="356">
        <v>1034586</v>
      </c>
      <c r="H22" s="353">
        <v>-107840</v>
      </c>
      <c r="I22" s="353">
        <v>-10784</v>
      </c>
      <c r="J22" s="353">
        <v>156884.06594999999</v>
      </c>
      <c r="K22" s="355">
        <v>1094414.06595</v>
      </c>
      <c r="L22" s="334">
        <v>0.180921</v>
      </c>
      <c r="M22" s="354">
        <v>4.4518139999999998E-2</v>
      </c>
      <c r="N22" s="353">
        <v>167668.06594999999</v>
      </c>
      <c r="O22" s="378" t="str">
        <f t="shared" si="0"/>
        <v>Rate DP</v>
      </c>
      <c r="P22" s="384">
        <f t="shared" si="1"/>
        <v>-0.11636413860971614</v>
      </c>
      <c r="Q22" s="384">
        <f t="shared" si="2"/>
        <v>0.1809212728730418</v>
      </c>
      <c r="R22" s="385">
        <f t="shared" si="3"/>
        <v>-17081.713839624153</v>
      </c>
      <c r="S22" s="385">
        <f t="shared" si="4"/>
        <v>0</v>
      </c>
      <c r="T22" s="386">
        <f t="shared" si="5"/>
        <v>150586.35211037582</v>
      </c>
      <c r="U22" s="386">
        <f t="shared" si="6"/>
        <v>1077332.3521103759</v>
      </c>
      <c r="V22" s="387">
        <f t="shared" si="7"/>
        <v>0.1624893467146078</v>
      </c>
      <c r="W22" s="387">
        <f t="shared" si="8"/>
        <v>-1.5608090549161902E-2</v>
      </c>
    </row>
    <row r="23" spans="1:23">
      <c r="A23" s="332">
        <v>9</v>
      </c>
      <c r="B23" s="330" t="s">
        <v>667</v>
      </c>
      <c r="C23" s="353">
        <v>21736943</v>
      </c>
      <c r="D23" s="353">
        <v>13220511</v>
      </c>
      <c r="E23" s="353">
        <v>825853</v>
      </c>
      <c r="F23" s="357">
        <v>3.7992999999999999E-2</v>
      </c>
      <c r="G23" s="356">
        <v>12879079</v>
      </c>
      <c r="H23" s="353">
        <v>341432</v>
      </c>
      <c r="I23" s="353">
        <v>34143</v>
      </c>
      <c r="J23" s="353">
        <v>1499763.0242600001</v>
      </c>
      <c r="K23" s="355">
        <v>14686131.024259999</v>
      </c>
      <c r="L23" s="334">
        <v>0.11086</v>
      </c>
      <c r="M23" s="354">
        <v>7.9476900000000003E-2</v>
      </c>
      <c r="N23" s="353">
        <v>1465620.0242600001</v>
      </c>
      <c r="O23" s="378" t="str">
        <f t="shared" si="0"/>
        <v>Rate TT</v>
      </c>
      <c r="P23" s="384">
        <f t="shared" si="1"/>
        <v>2.5825930631576947E-2</v>
      </c>
      <c r="Q23" s="384">
        <f t="shared" si="2"/>
        <v>0.11085955938163057</v>
      </c>
      <c r="R23" s="385">
        <f t="shared" si="3"/>
        <v>-163304.11517898215</v>
      </c>
      <c r="S23" s="385">
        <f t="shared" si="4"/>
        <v>-158236.18693294705</v>
      </c>
      <c r="T23" s="386">
        <f t="shared" si="5"/>
        <v>1144079.722148071</v>
      </c>
      <c r="U23" s="386">
        <f t="shared" si="6"/>
        <v>14364590.722148072</v>
      </c>
      <c r="V23" s="387">
        <f t="shared" si="7"/>
        <v>8.6538237602772794E-2</v>
      </c>
      <c r="W23" s="387">
        <f t="shared" si="8"/>
        <v>-2.1894146360316058E-2</v>
      </c>
    </row>
    <row r="24" spans="1:23">
      <c r="A24" s="332">
        <v>10</v>
      </c>
      <c r="B24" s="330" t="s">
        <v>668</v>
      </c>
      <c r="C24" s="353">
        <v>3107084</v>
      </c>
      <c r="D24" s="353">
        <v>1889364</v>
      </c>
      <c r="E24" s="353">
        <v>36900</v>
      </c>
      <c r="F24" s="357">
        <v>1.1875999999999999E-2</v>
      </c>
      <c r="G24" s="356">
        <v>1972452</v>
      </c>
      <c r="H24" s="353">
        <v>-83088</v>
      </c>
      <c r="I24" s="353">
        <v>-8309</v>
      </c>
      <c r="J24" s="353">
        <v>214383.90035400001</v>
      </c>
      <c r="K24" s="355">
        <v>2112056.9003539998</v>
      </c>
      <c r="L24" s="334">
        <v>0.117867</v>
      </c>
      <c r="M24" s="354">
        <v>5.5973120000000001E-2</v>
      </c>
      <c r="N24" s="353">
        <v>222692.90035400001</v>
      </c>
      <c r="O24" s="378" t="str">
        <f t="shared" si="0"/>
        <v>Lighting</v>
      </c>
      <c r="P24" s="384">
        <f t="shared" si="1"/>
        <v>-4.39767032715771E-2</v>
      </c>
      <c r="Q24" s="384">
        <f t="shared" si="2"/>
        <v>0.11786659444871396</v>
      </c>
      <c r="R24" s="385">
        <f t="shared" si="3"/>
        <v>-23342.730548944834</v>
      </c>
      <c r="S24" s="385">
        <f t="shared" si="4"/>
        <v>0</v>
      </c>
      <c r="T24" s="386">
        <f t="shared" si="5"/>
        <v>199350.16980505519</v>
      </c>
      <c r="U24" s="386">
        <f t="shared" si="6"/>
        <v>2088714.1698050553</v>
      </c>
      <c r="V24" s="387">
        <f t="shared" si="7"/>
        <v>0.10551178587347665</v>
      </c>
      <c r="W24" s="387">
        <f t="shared" si="8"/>
        <v>-1.1052131476681382E-2</v>
      </c>
    </row>
    <row r="25" spans="1:23">
      <c r="A25" s="332">
        <v>11</v>
      </c>
      <c r="B25" s="330" t="s">
        <v>669</v>
      </c>
      <c r="C25" s="353">
        <v>514293</v>
      </c>
      <c r="D25" s="353">
        <v>7414</v>
      </c>
      <c r="E25" s="353">
        <v>-82345</v>
      </c>
      <c r="F25" s="357">
        <v>-0.16011300000000001</v>
      </c>
      <c r="G25" s="356">
        <v>164933</v>
      </c>
      <c r="H25" s="353">
        <v>-157519</v>
      </c>
      <c r="I25" s="353">
        <v>-15752</v>
      </c>
      <c r="J25" s="353">
        <v>35463.095838000001</v>
      </c>
      <c r="K25" s="355">
        <v>58629.095838000001</v>
      </c>
      <c r="L25" s="334">
        <v>6.9078900000000001</v>
      </c>
      <c r="M25" s="354">
        <v>-9.8843650000000005E-2</v>
      </c>
      <c r="N25" s="353">
        <v>51215.095838000001</v>
      </c>
      <c r="O25" s="378" t="str">
        <f t="shared" si="0"/>
        <v>Other - Water Pumping</v>
      </c>
      <c r="P25" s="384">
        <f t="shared" si="1"/>
        <v>-21.246155921230105</v>
      </c>
      <c r="Q25" s="384">
        <f t="shared" si="2"/>
        <v>6.9078899161046667</v>
      </c>
      <c r="R25" s="385">
        <f t="shared" si="3"/>
        <v>-3863.7522906392251</v>
      </c>
      <c r="S25" s="385">
        <f t="shared" si="4"/>
        <v>0</v>
      </c>
      <c r="T25" s="386">
        <f t="shared" si="5"/>
        <v>47351.343547360775</v>
      </c>
      <c r="U25" s="386">
        <f t="shared" si="6"/>
        <v>54765.343547360775</v>
      </c>
      <c r="V25" s="387">
        <f t="shared" si="7"/>
        <v>6.3867471739089261</v>
      </c>
      <c r="W25" s="387">
        <f t="shared" si="8"/>
        <v>-6.5901618222380387E-2</v>
      </c>
    </row>
    <row r="26" spans="1:23">
      <c r="A26" s="332">
        <v>12</v>
      </c>
      <c r="B26" s="342" t="s">
        <v>3</v>
      </c>
      <c r="C26" s="331" t="s">
        <v>3</v>
      </c>
      <c r="D26" s="331" t="s">
        <v>3</v>
      </c>
      <c r="E26" s="331" t="s">
        <v>3</v>
      </c>
      <c r="F26" s="352" t="s">
        <v>3</v>
      </c>
      <c r="G26" s="351" t="s">
        <v>3</v>
      </c>
      <c r="H26" s="331" t="s">
        <v>3</v>
      </c>
      <c r="I26" s="331" t="s">
        <v>3</v>
      </c>
      <c r="J26" s="331" t="s">
        <v>3</v>
      </c>
      <c r="K26" s="350" t="s">
        <v>3</v>
      </c>
      <c r="L26" s="349" t="s">
        <v>3</v>
      </c>
      <c r="M26" s="348"/>
      <c r="N26" s="329"/>
      <c r="O26" s="378"/>
      <c r="P26" s="384"/>
      <c r="Q26" s="384"/>
      <c r="R26" s="385"/>
      <c r="S26" s="385"/>
      <c r="T26" s="386"/>
      <c r="U26" s="386"/>
      <c r="V26" s="387"/>
      <c r="W26" s="387"/>
    </row>
    <row r="27" spans="1:23" ht="15.6" thickBot="1">
      <c r="A27" s="332">
        <v>13</v>
      </c>
      <c r="B27" s="342" t="s">
        <v>670</v>
      </c>
      <c r="C27" s="346">
        <v>705051140</v>
      </c>
      <c r="D27" s="346">
        <v>304270571</v>
      </c>
      <c r="E27" s="346">
        <v>19973370.308984876</v>
      </c>
      <c r="F27" s="347">
        <v>2.8328967E-2</v>
      </c>
      <c r="G27" s="346">
        <v>304270571</v>
      </c>
      <c r="H27" s="346">
        <v>0</v>
      </c>
      <c r="I27" s="346">
        <v>0</v>
      </c>
      <c r="J27" s="343">
        <v>48646222</v>
      </c>
      <c r="K27" s="346">
        <v>352916793.00000006</v>
      </c>
      <c r="L27" s="345">
        <v>0.15987799999999999</v>
      </c>
      <c r="M27" s="344">
        <v>7.0779629999999996E-2</v>
      </c>
      <c r="N27" s="343">
        <v>48646222</v>
      </c>
      <c r="O27" s="378" t="str">
        <f t="shared" si="0"/>
        <v xml:space="preserve">     Total</v>
      </c>
      <c r="P27" s="388">
        <f t="shared" si="1"/>
        <v>0</v>
      </c>
      <c r="Q27" s="388">
        <f t="shared" si="2"/>
        <v>0.15987816974912109</v>
      </c>
      <c r="R27" s="389">
        <f>SUM(R15:R25)</f>
        <v>-5296869.599999994</v>
      </c>
      <c r="S27" s="389">
        <f>SUM(S15:S25)</f>
        <v>-5296869.599999994</v>
      </c>
      <c r="T27" s="390">
        <f t="shared" si="5"/>
        <v>38052482.800000012</v>
      </c>
      <c r="U27" s="390">
        <f t="shared" si="6"/>
        <v>342323053.80000001</v>
      </c>
      <c r="V27" s="391">
        <f t="shared" si="7"/>
        <v>0.12506133167903388</v>
      </c>
      <c r="W27" s="391">
        <f t="shared" si="8"/>
        <v>-3.001766821563534E-2</v>
      </c>
    </row>
    <row r="28" spans="1:23" ht="15.6" thickTop="1">
      <c r="A28" s="332">
        <v>14</v>
      </c>
      <c r="B28" s="342"/>
      <c r="C28" s="341"/>
      <c r="D28" s="341"/>
      <c r="E28" s="341"/>
      <c r="F28" s="341"/>
      <c r="G28" s="341"/>
      <c r="H28" s="341"/>
      <c r="I28" s="341"/>
      <c r="J28" s="341" t="s">
        <v>3</v>
      </c>
      <c r="K28" s="341"/>
      <c r="L28" s="341"/>
      <c r="M28" s="341"/>
      <c r="N28" s="329"/>
      <c r="O28" s="329"/>
      <c r="P28" s="380"/>
      <c r="Q28" s="380"/>
      <c r="R28" s="380"/>
      <c r="S28" s="380"/>
      <c r="T28" s="380"/>
      <c r="U28" s="380"/>
      <c r="V28" s="380"/>
      <c r="W28" s="380"/>
    </row>
    <row r="29" spans="1:23">
      <c r="A29" s="332">
        <v>15</v>
      </c>
      <c r="B29" s="338" t="s">
        <v>671</v>
      </c>
      <c r="C29" s="340">
        <v>0.61525618699999995</v>
      </c>
      <c r="D29" s="329"/>
      <c r="E29" s="329"/>
      <c r="F29" s="329"/>
      <c r="G29" s="329"/>
      <c r="H29" s="329"/>
      <c r="I29" s="329"/>
      <c r="J29" s="329"/>
      <c r="K29" s="339">
        <v>48646222.00000006</v>
      </c>
      <c r="L29" s="329"/>
      <c r="M29" s="329"/>
      <c r="N29" s="329"/>
      <c r="O29" s="329"/>
      <c r="P29" s="393" t="s">
        <v>687</v>
      </c>
      <c r="Q29" s="393"/>
      <c r="R29" s="394">
        <f>-SUM(H15,H18,H21,H22,H25,H24)</f>
        <v>11429249</v>
      </c>
      <c r="S29" s="380"/>
      <c r="T29" s="380"/>
      <c r="U29" s="380"/>
      <c r="V29" s="380"/>
      <c r="W29" s="380"/>
    </row>
    <row r="30" spans="1:23">
      <c r="A30" s="332">
        <v>16</v>
      </c>
      <c r="B30" s="329"/>
      <c r="C30" s="329"/>
      <c r="D30" s="329"/>
      <c r="E30" s="329"/>
      <c r="F30" s="329"/>
      <c r="G30" s="329"/>
      <c r="H30" s="329"/>
      <c r="I30" s="329"/>
      <c r="J30" s="329"/>
      <c r="K30" s="329"/>
      <c r="L30" s="329"/>
      <c r="M30" s="329"/>
      <c r="N30" s="329"/>
      <c r="O30" s="329"/>
      <c r="P30" s="393" t="s">
        <v>709</v>
      </c>
      <c r="Q30" s="393"/>
      <c r="R30" s="394">
        <f>'JDB FIT Rev WP'!M30</f>
        <v>10593739.199999988</v>
      </c>
      <c r="S30" s="380"/>
      <c r="T30" s="380"/>
      <c r="U30" s="380"/>
      <c r="V30" s="380"/>
      <c r="W30" s="380"/>
    </row>
    <row r="31" spans="1:23">
      <c r="A31" s="332">
        <v>17</v>
      </c>
      <c r="B31" s="338" t="s">
        <v>672</v>
      </c>
      <c r="C31" s="329"/>
      <c r="D31" s="329"/>
      <c r="E31" s="329"/>
      <c r="F31" s="329"/>
      <c r="G31" s="329"/>
      <c r="H31" s="329"/>
      <c r="I31" s="329"/>
      <c r="J31" s="329"/>
      <c r="K31" s="329"/>
      <c r="L31" s="329"/>
      <c r="M31" s="329"/>
      <c r="N31" s="329"/>
      <c r="O31" s="329"/>
      <c r="P31" s="395"/>
      <c r="Q31" s="396"/>
      <c r="R31" s="396"/>
      <c r="S31" s="380"/>
      <c r="T31" s="380"/>
      <c r="U31" s="380"/>
      <c r="V31" s="380"/>
      <c r="W31" s="380"/>
    </row>
    <row r="32" spans="1:23">
      <c r="A32" s="332">
        <v>18</v>
      </c>
      <c r="B32" s="338"/>
      <c r="C32" s="329"/>
      <c r="D32" s="329"/>
      <c r="E32" s="329"/>
      <c r="F32" s="329"/>
      <c r="G32" s="329"/>
      <c r="H32" s="329"/>
      <c r="I32" s="329"/>
      <c r="J32" s="329"/>
      <c r="K32" s="329"/>
      <c r="L32" s="329"/>
      <c r="M32" s="329"/>
      <c r="N32" s="329"/>
      <c r="O32" s="329"/>
    </row>
    <row r="33" spans="1:12">
      <c r="A33" s="332">
        <v>19</v>
      </c>
      <c r="B33" s="338"/>
      <c r="C33" s="329"/>
      <c r="D33" s="329"/>
      <c r="E33" s="329"/>
      <c r="F33" s="329"/>
      <c r="G33" s="329"/>
      <c r="H33" s="329"/>
      <c r="I33" s="329"/>
      <c r="J33" s="329"/>
      <c r="K33" s="329"/>
      <c r="L33" s="329"/>
    </row>
    <row r="34" spans="1:12">
      <c r="A34" s="332">
        <v>20</v>
      </c>
      <c r="B34" s="337" t="s">
        <v>673</v>
      </c>
      <c r="C34" s="329"/>
      <c r="D34" s="329"/>
      <c r="E34" s="329"/>
      <c r="F34" s="329"/>
      <c r="G34" s="329"/>
      <c r="H34" s="329"/>
      <c r="I34" s="329"/>
      <c r="J34" s="329"/>
      <c r="K34" s="329"/>
      <c r="L34" s="329"/>
    </row>
    <row r="35" spans="1:12">
      <c r="A35" s="332">
        <v>21</v>
      </c>
      <c r="B35" s="330" t="s">
        <v>674</v>
      </c>
      <c r="C35" s="329"/>
      <c r="D35" s="331">
        <v>297504</v>
      </c>
      <c r="E35" s="329"/>
      <c r="F35" s="329"/>
      <c r="G35" s="329"/>
      <c r="H35" s="329"/>
      <c r="I35" s="329"/>
      <c r="J35" s="329"/>
      <c r="K35" s="331">
        <v>297504</v>
      </c>
      <c r="L35" s="329"/>
    </row>
    <row r="36" spans="1:12">
      <c r="A36" s="332">
        <v>22</v>
      </c>
      <c r="B36" s="330" t="s">
        <v>675</v>
      </c>
      <c r="C36" s="329"/>
      <c r="D36" s="331">
        <v>0</v>
      </c>
      <c r="E36" s="329"/>
      <c r="F36" s="329"/>
      <c r="G36" s="329"/>
      <c r="H36" s="329"/>
      <c r="I36" s="329"/>
      <c r="J36" s="329"/>
      <c r="K36" s="331">
        <v>0</v>
      </c>
      <c r="L36" s="329"/>
    </row>
    <row r="37" spans="1:12">
      <c r="A37" s="332">
        <v>23</v>
      </c>
      <c r="B37" s="330" t="s">
        <v>676</v>
      </c>
      <c r="C37" s="329"/>
      <c r="D37" s="331">
        <v>230180</v>
      </c>
      <c r="E37" s="329"/>
      <c r="F37" s="329"/>
      <c r="G37" s="329"/>
      <c r="H37" s="329"/>
      <c r="I37" s="329"/>
      <c r="J37" s="329"/>
      <c r="K37" s="331">
        <v>230180</v>
      </c>
      <c r="L37" s="329"/>
    </row>
    <row r="38" spans="1:12">
      <c r="A38" s="332">
        <v>24</v>
      </c>
      <c r="B38" s="330" t="s">
        <v>677</v>
      </c>
      <c r="C38" s="329"/>
      <c r="D38" s="331">
        <v>1058004</v>
      </c>
      <c r="E38" s="329"/>
      <c r="F38" s="329"/>
      <c r="G38" s="329"/>
      <c r="H38" s="329"/>
      <c r="I38" s="329"/>
      <c r="J38" s="329"/>
      <c r="K38" s="331">
        <v>1058004</v>
      </c>
      <c r="L38" s="329"/>
    </row>
    <row r="39" spans="1:12">
      <c r="A39" s="332">
        <v>25</v>
      </c>
      <c r="B39" s="330" t="s">
        <v>240</v>
      </c>
      <c r="C39" s="329"/>
      <c r="D39" s="331">
        <v>144996</v>
      </c>
      <c r="E39" s="329"/>
      <c r="F39" s="329"/>
      <c r="G39" s="329"/>
      <c r="H39" s="329"/>
      <c r="I39" s="329"/>
      <c r="J39" s="329"/>
      <c r="K39" s="331">
        <v>144996</v>
      </c>
      <c r="L39" s="329"/>
    </row>
    <row r="40" spans="1:12">
      <c r="A40" s="332">
        <v>26</v>
      </c>
      <c r="B40" s="330" t="s">
        <v>678</v>
      </c>
      <c r="C40" s="329"/>
      <c r="D40" s="331">
        <v>0</v>
      </c>
      <c r="E40" s="329"/>
      <c r="F40" s="329"/>
      <c r="G40" s="329"/>
      <c r="H40" s="329"/>
      <c r="I40" s="329"/>
      <c r="J40" s="329"/>
      <c r="K40" s="331">
        <v>0</v>
      </c>
      <c r="L40" s="329"/>
    </row>
    <row r="41" spans="1:12">
      <c r="A41" s="332">
        <v>27</v>
      </c>
      <c r="B41" s="330" t="s">
        <v>10</v>
      </c>
      <c r="C41" s="329"/>
      <c r="D41" s="331">
        <v>2789980</v>
      </c>
      <c r="E41" s="329"/>
      <c r="F41" s="329"/>
      <c r="G41" s="329"/>
      <c r="H41" s="329"/>
      <c r="I41" s="329"/>
      <c r="J41" s="329"/>
      <c r="K41" s="331">
        <v>2789980</v>
      </c>
      <c r="L41" s="329"/>
    </row>
    <row r="42" spans="1:12">
      <c r="A42" s="332">
        <v>28</v>
      </c>
      <c r="B42" s="330" t="s">
        <v>679</v>
      </c>
      <c r="C42" s="329"/>
      <c r="D42" s="336">
        <v>4520664</v>
      </c>
      <c r="E42" s="329"/>
      <c r="F42" s="329"/>
      <c r="G42" s="329"/>
      <c r="H42" s="329"/>
      <c r="I42" s="329"/>
      <c r="J42" s="329"/>
      <c r="K42" s="336">
        <v>4520664</v>
      </c>
      <c r="L42" s="329"/>
    </row>
    <row r="43" spans="1:12">
      <c r="A43" s="332">
        <v>29</v>
      </c>
      <c r="B43" s="330" t="s">
        <v>680</v>
      </c>
      <c r="C43" s="329"/>
      <c r="D43" s="329"/>
      <c r="E43" s="329"/>
      <c r="F43" s="329"/>
      <c r="G43" s="329"/>
      <c r="H43" s="329"/>
      <c r="I43" s="329"/>
      <c r="J43" s="329"/>
      <c r="K43" s="329"/>
      <c r="L43" s="329"/>
    </row>
    <row r="44" spans="1:12" ht="15.6" thickBot="1">
      <c r="A44" s="332">
        <v>30</v>
      </c>
      <c r="B44" s="330" t="s">
        <v>681</v>
      </c>
      <c r="C44" s="329"/>
      <c r="D44" s="335">
        <v>308791235</v>
      </c>
      <c r="E44" s="329"/>
      <c r="F44" s="329"/>
      <c r="G44" s="329"/>
      <c r="H44" s="329"/>
      <c r="I44" s="329"/>
      <c r="J44" s="329"/>
      <c r="K44" s="335">
        <v>357437457.00000006</v>
      </c>
      <c r="L44" s="334">
        <v>0.15753800000000001</v>
      </c>
    </row>
    <row r="45" spans="1:12" ht="15.6" thickTop="1">
      <c r="A45" s="332"/>
      <c r="B45" s="329"/>
      <c r="C45" s="329"/>
      <c r="D45" s="333"/>
      <c r="E45" s="329"/>
      <c r="F45" s="329"/>
      <c r="G45" s="329"/>
      <c r="H45" s="329"/>
      <c r="I45" s="329"/>
      <c r="J45" s="329"/>
      <c r="K45" s="329"/>
      <c r="L45" s="329"/>
    </row>
    <row r="46" spans="1:12">
      <c r="A46" s="332"/>
      <c r="B46" s="329"/>
      <c r="C46" s="329"/>
      <c r="D46" s="331"/>
      <c r="E46" s="329"/>
      <c r="F46" s="329"/>
      <c r="G46" s="329"/>
      <c r="H46" s="329"/>
      <c r="I46" s="329"/>
      <c r="J46" s="329"/>
      <c r="K46" s="331">
        <v>48646222.00000006</v>
      </c>
      <c r="L46" s="329"/>
    </row>
    <row r="47" spans="1:12">
      <c r="A47" s="332"/>
      <c r="B47" s="329"/>
      <c r="C47" s="329"/>
      <c r="D47" s="331"/>
      <c r="E47" s="329"/>
      <c r="F47" s="329"/>
      <c r="G47" s="329"/>
      <c r="H47" s="329"/>
      <c r="I47" s="329"/>
      <c r="J47" s="329"/>
      <c r="K47" s="329"/>
      <c r="L47" s="329"/>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29</vt:i4>
      </vt:variant>
    </vt:vector>
  </HeadingPairs>
  <TitlesOfParts>
    <vt:vector size="31" baseType="lpstr">
      <vt:lpstr>JDB FIT Rev WP</vt:lpstr>
      <vt:lpstr>JDB Rev Alloc WP</vt:lpstr>
      <vt:lpstr>'JDB FIT Rev WP'!ALLOCTABLE_FUNCTIONAL</vt:lpstr>
      <vt:lpstr>'JDB FIT Rev WP'!CompositeTaxRate</vt:lpstr>
      <vt:lpstr>'JDB FIT Rev WP'!Equity</vt:lpstr>
      <vt:lpstr>'JDB FIT Rev WP'!EquityRatio</vt:lpstr>
      <vt:lpstr>'JDB FIT Rev WP'!FIT</vt:lpstr>
      <vt:lpstr>'JDB FIT Rev WP'!FR16_7_v_1</vt:lpstr>
      <vt:lpstr>'JDB FIT Rev WP'!FR16_7_v_1_Alloc_12</vt:lpstr>
      <vt:lpstr>'JDB FIT Rev WP'!FR16_7_v_1_Alloc_12.1</vt:lpstr>
      <vt:lpstr>'JDB FIT Rev WP'!FR16_7_v_1_Alloc_12.2</vt:lpstr>
      <vt:lpstr>'JDB FIT Rev WP'!FR16_7_v_1_COS_Compute_10</vt:lpstr>
      <vt:lpstr>'JDB FIT Rev WP'!FR16_7_v_1_Depreciation_Expense_7</vt:lpstr>
      <vt:lpstr>'JDB FIT Rev WP'!FR16_7_v_1_Depreciation_Reserve_3</vt:lpstr>
      <vt:lpstr>'JDB FIT Rev WP'!FR16_7_v_1_FIT_Return_9</vt:lpstr>
      <vt:lpstr>'JDB FIT Rev WP'!FR16_7_v_1_Gross_Plant_2</vt:lpstr>
      <vt:lpstr>'JDB FIT Rev WP'!FR16_7_v_1_Net_Plant_4</vt:lpstr>
      <vt:lpstr>'JDB FIT Rev WP'!FR16_7_v_1_OMEXP_6</vt:lpstr>
      <vt:lpstr>'JDB FIT Rev WP'!FR16_7_v_1_OMEXP_6.1</vt:lpstr>
      <vt:lpstr>'JDB FIT Rev WP'!FR16_7_v_1_RB_Additive_Adj_5.1</vt:lpstr>
      <vt:lpstr>'JDB FIT Rev WP'!FR16_7_v_1_RB_Subtractive_Adj_5</vt:lpstr>
      <vt:lpstr>'JDB FIT Rev WP'!FR16_7_v_1_RB_Total_5.2</vt:lpstr>
      <vt:lpstr>'JDB FIT Rev WP'!FR16_7_v_1_RofR_11</vt:lpstr>
      <vt:lpstr>'JDB FIT Rev WP'!FR16_7_v_1_SIT_Return_9.1</vt:lpstr>
      <vt:lpstr>'JDB FIT Rev WP'!FR16_7_v_1_Summary_1</vt:lpstr>
      <vt:lpstr>'JDB FIT Rev WP'!FR16_7_v_1_Taxes_Other_Than_Income_8</vt:lpstr>
      <vt:lpstr>'JDB FIT Rev WP'!Print_Area</vt:lpstr>
      <vt:lpstr>'JDB FIT Rev WP'!RevTax</vt:lpstr>
      <vt:lpstr>'JDB FIT Rev WP'!RofR</vt:lpstr>
      <vt:lpstr>'JDB FIT Rev WP'!SIT</vt:lpstr>
      <vt:lpstr>'JDB FIT Rev WP'!TotalCap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Bieber</dc:creator>
  <cp:lastModifiedBy>Kim Walton</cp:lastModifiedBy>
  <dcterms:created xsi:type="dcterms:W3CDTF">2018-01-19T20:05:50Z</dcterms:created>
  <dcterms:modified xsi:type="dcterms:W3CDTF">2018-01-31T15:51:51Z</dcterms:modified>
</cp:coreProperties>
</file>