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835" tabRatio="795"/>
  </bookViews>
  <sheets>
    <sheet name="Q1-Q2 KU Over-Under Calc" sheetId="2" r:id="rId1"/>
    <sheet name="Q2 KU Summary Over-Under" sheetId="3" r:id="rId2"/>
    <sheet name="Q1 - KU ROR Feb17 (Pre-2016)" sheetId="9" r:id="rId3"/>
    <sheet name="Q1 - KU ROR Feb17 (2016)" sheetId="10" r:id="rId4"/>
    <sheet name="Q1 - KU ECC Feb17" sheetId="1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3">'Q1 - KU ROR Feb17 (2016)'!$A$1:$S$37</definedName>
    <definedName name="_xlnm.Print_Area" localSheetId="2">'Q1 - KU ROR Feb17 (Pre-2016)'!$A$1:$S$37</definedName>
    <definedName name="_xlnm.Print_Area" localSheetId="0">'Q1-Q2 KU Over-Under Calc'!$A$1:$I$80,'Q1-Q2 KU Over-Under Calc'!$K$1:$S$80,'Q1-Q2 KU Over-Under Calc'!$U$1:$AB$80,'Q1-Q2 KU Over-Under Calc'!$AD$1:$AN$55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I30" i="3" l="1"/>
  <c r="I29" i="3"/>
  <c r="I28" i="3"/>
  <c r="I27" i="3"/>
  <c r="I26" i="3"/>
  <c r="I25" i="3"/>
  <c r="D30" i="3"/>
  <c r="D29" i="3"/>
  <c r="D28" i="3"/>
  <c r="D27" i="3"/>
  <c r="D26" i="3"/>
  <c r="D25" i="3"/>
  <c r="B30" i="3"/>
  <c r="B29" i="3"/>
  <c r="B28" i="3"/>
  <c r="B27" i="3"/>
  <c r="B26" i="3"/>
  <c r="B25" i="3"/>
  <c r="C21" i="3"/>
  <c r="D21" i="3" s="1"/>
  <c r="E21" i="3" s="1"/>
  <c r="F21" i="3" s="1"/>
  <c r="G21" i="3" s="1"/>
  <c r="H21" i="3" s="1"/>
  <c r="I21" i="3" s="1"/>
  <c r="J21" i="3" s="1"/>
  <c r="Y39" i="2" l="1"/>
  <c r="Y38" i="2" l="1"/>
  <c r="Y37" i="2" l="1"/>
  <c r="Y36" i="2" l="1"/>
  <c r="Y34" i="2" l="1"/>
  <c r="Y35" i="2" l="1"/>
  <c r="X78" i="2" l="1"/>
  <c r="X77" i="2"/>
  <c r="X76" i="2"/>
  <c r="X75" i="2"/>
  <c r="X74" i="2"/>
  <c r="X73" i="2"/>
  <c r="E34" i="2"/>
  <c r="E35" i="2"/>
  <c r="E36" i="2"/>
  <c r="E26" i="2" l="1"/>
  <c r="E27" i="2"/>
  <c r="E28" i="2"/>
  <c r="E29" i="2"/>
  <c r="E30" i="2"/>
  <c r="E31" i="2"/>
  <c r="X39" i="2" l="1"/>
  <c r="X38" i="2"/>
  <c r="X37" i="2"/>
  <c r="X36" i="2"/>
  <c r="X35" i="2"/>
  <c r="X34" i="2"/>
  <c r="O65" i="11"/>
  <c r="M65" i="11"/>
  <c r="J65" i="11"/>
  <c r="F65" i="11"/>
  <c r="Q63" i="11"/>
  <c r="S63" i="11" s="1"/>
  <c r="H63" i="11"/>
  <c r="S62" i="11"/>
  <c r="H62" i="11"/>
  <c r="H65" i="11" s="1"/>
  <c r="S61" i="11"/>
  <c r="H61" i="11"/>
  <c r="Q61" i="11" s="1"/>
  <c r="Q47" i="11"/>
  <c r="O47" i="11"/>
  <c r="M47" i="11"/>
  <c r="J47" i="11"/>
  <c r="H47" i="11"/>
  <c r="F47" i="11"/>
  <c r="Q46" i="11"/>
  <c r="Q45" i="11"/>
  <c r="O43" i="11"/>
  <c r="M43" i="11"/>
  <c r="J43" i="11"/>
  <c r="J49" i="11" s="1"/>
  <c r="J68" i="11" s="1"/>
  <c r="F43" i="11"/>
  <c r="Q41" i="11"/>
  <c r="S41" i="11" s="1"/>
  <c r="S40" i="11"/>
  <c r="Q40" i="11"/>
  <c r="Q38" i="11"/>
  <c r="S38" i="11" s="1"/>
  <c r="S37" i="11"/>
  <c r="Q37" i="11"/>
  <c r="Q36" i="11"/>
  <c r="S36" i="11" s="1"/>
  <c r="H36" i="11"/>
  <c r="S35" i="11"/>
  <c r="Q35" i="11"/>
  <c r="S34" i="11"/>
  <c r="Q34" i="11"/>
  <c r="H33" i="11"/>
  <c r="Q33" i="11" s="1"/>
  <c r="S33" i="11" s="1"/>
  <c r="S32" i="11"/>
  <c r="Q32" i="11"/>
  <c r="Q31" i="11"/>
  <c r="S31" i="11" s="1"/>
  <c r="S30" i="11"/>
  <c r="Q30" i="11"/>
  <c r="H30" i="11"/>
  <c r="S29" i="11"/>
  <c r="Q29" i="11"/>
  <c r="H28" i="11"/>
  <c r="Q28" i="11" s="1"/>
  <c r="S28" i="11" s="1"/>
  <c r="S27" i="11"/>
  <c r="Q27" i="11"/>
  <c r="Q26" i="11"/>
  <c r="H26" i="11"/>
  <c r="H43" i="11" s="1"/>
  <c r="O24" i="11"/>
  <c r="O49" i="11" s="1"/>
  <c r="O68" i="11" s="1"/>
  <c r="M24" i="11"/>
  <c r="M49" i="11" s="1"/>
  <c r="M68" i="11" s="1"/>
  <c r="J24" i="11"/>
  <c r="F24" i="11"/>
  <c r="F49" i="11" s="1"/>
  <c r="Q22" i="11"/>
  <c r="H21" i="11"/>
  <c r="Q21" i="11" s="1"/>
  <c r="S21" i="11" s="1"/>
  <c r="S20" i="11"/>
  <c r="Q20" i="11"/>
  <c r="H20" i="11"/>
  <c r="S19" i="11"/>
  <c r="Q19" i="11"/>
  <c r="H19" i="11"/>
  <c r="Q18" i="11"/>
  <c r="S18" i="11" s="1"/>
  <c r="H18" i="11"/>
  <c r="H17" i="11"/>
  <c r="Q17" i="11" s="1"/>
  <c r="S17" i="11" s="1"/>
  <c r="S16" i="11"/>
  <c r="Q16" i="11"/>
  <c r="H16" i="11"/>
  <c r="S15" i="11"/>
  <c r="Q15" i="11"/>
  <c r="H15" i="11"/>
  <c r="Q14" i="11"/>
  <c r="S14" i="11" s="1"/>
  <c r="H14" i="11"/>
  <c r="H13" i="11"/>
  <c r="Q13" i="11" s="1"/>
  <c r="S13" i="11" s="1"/>
  <c r="S12" i="11"/>
  <c r="Q12" i="11"/>
  <c r="H12" i="11"/>
  <c r="S11" i="11"/>
  <c r="Q11" i="11"/>
  <c r="Q24" i="11" s="1"/>
  <c r="H11" i="11"/>
  <c r="H24" i="11" s="1"/>
  <c r="P18" i="10"/>
  <c r="H18" i="10"/>
  <c r="P17" i="10"/>
  <c r="C16" i="10"/>
  <c r="P18" i="9"/>
  <c r="H18" i="9"/>
  <c r="P17" i="9"/>
  <c r="C16" i="9"/>
  <c r="C17" i="10" l="1"/>
  <c r="F68" i="11"/>
  <c r="C17" i="9"/>
  <c r="Q43" i="11"/>
  <c r="S43" i="11" s="1"/>
  <c r="S47" i="11"/>
  <c r="S24" i="11"/>
  <c r="H49" i="11"/>
  <c r="H68" i="11" s="1"/>
  <c r="C19" i="10"/>
  <c r="F16" i="10" s="1"/>
  <c r="S26" i="11"/>
  <c r="Q62" i="11"/>
  <c r="Q65" i="11" s="1"/>
  <c r="S65" i="11" s="1"/>
  <c r="C19" i="9"/>
  <c r="F16" i="9" s="1"/>
  <c r="J16" i="10" l="1"/>
  <c r="J16" i="9"/>
  <c r="P30" i="10"/>
  <c r="P30" i="9"/>
  <c r="F17" i="9"/>
  <c r="J17" i="9" s="1"/>
  <c r="L17" i="9" s="1"/>
  <c r="N17" i="9" s="1"/>
  <c r="R17" i="9" s="1"/>
  <c r="C31" i="9" s="1"/>
  <c r="Q49" i="11"/>
  <c r="F17" i="10"/>
  <c r="J17" i="10" s="1"/>
  <c r="L17" i="10" s="1"/>
  <c r="N17" i="10"/>
  <c r="R17" i="10" s="1"/>
  <c r="C31" i="10" s="1"/>
  <c r="Q68" i="11" l="1"/>
  <c r="S68" i="11" s="1"/>
  <c r="S49" i="11"/>
  <c r="F18" i="10"/>
  <c r="F19" i="10" s="1"/>
  <c r="J18" i="9"/>
  <c r="L18" i="9" s="1"/>
  <c r="N18" i="9" s="1"/>
  <c r="R18" i="9" s="1"/>
  <c r="C32" i="9" s="1"/>
  <c r="L16" i="9"/>
  <c r="F18" i="9"/>
  <c r="F19" i="9" s="1"/>
  <c r="J18" i="10"/>
  <c r="L18" i="10" s="1"/>
  <c r="N18" i="10" s="1"/>
  <c r="R18" i="10" s="1"/>
  <c r="C32" i="10" s="1"/>
  <c r="L16" i="10"/>
  <c r="L19" i="10" l="1"/>
  <c r="N16" i="10"/>
  <c r="P31" i="10"/>
  <c r="P31" i="9"/>
  <c r="L19" i="9"/>
  <c r="N16" i="9"/>
  <c r="N19" i="10" l="1"/>
  <c r="R16" i="10"/>
  <c r="R16" i="9"/>
  <c r="N19" i="9"/>
  <c r="R19" i="10" l="1"/>
  <c r="C30" i="10"/>
  <c r="C30" i="9"/>
  <c r="R19" i="9"/>
  <c r="F30" i="10" l="1"/>
  <c r="C33" i="10"/>
  <c r="F31" i="10" s="1"/>
  <c r="C33" i="9"/>
  <c r="F31" i="9" s="1"/>
  <c r="F30" i="9"/>
  <c r="J30" i="9" l="1"/>
  <c r="J32" i="9" s="1"/>
  <c r="H30" i="9"/>
  <c r="F32" i="9"/>
  <c r="F33" i="9" s="1"/>
  <c r="J31" i="9"/>
  <c r="H31" i="9"/>
  <c r="L31" i="9" s="1"/>
  <c r="H30" i="10"/>
  <c r="J30" i="10"/>
  <c r="F32" i="10"/>
  <c r="F33" i="10" s="1"/>
  <c r="H31" i="10"/>
  <c r="J31" i="10"/>
  <c r="J32" i="10" l="1"/>
  <c r="L31" i="10"/>
  <c r="H32" i="10"/>
  <c r="L30" i="10"/>
  <c r="H32" i="9"/>
  <c r="L32" i="9" s="1"/>
  <c r="L30" i="9"/>
  <c r="L33" i="10" l="1"/>
  <c r="N30" i="10"/>
  <c r="L32" i="10"/>
  <c r="L33" i="9"/>
  <c r="N31" i="9" s="1"/>
  <c r="R31" i="9" s="1"/>
  <c r="N30" i="9"/>
  <c r="N31" i="10"/>
  <c r="R31" i="10" s="1"/>
  <c r="N32" i="10" l="1"/>
  <c r="R32" i="10" s="1"/>
  <c r="R30" i="10"/>
  <c r="R30" i="9"/>
  <c r="N32" i="9"/>
  <c r="R32" i="9" s="1"/>
  <c r="N33" i="9"/>
  <c r="N33" i="10" l="1"/>
  <c r="R33" i="9"/>
  <c r="R34" i="9" s="1"/>
  <c r="R33" i="10"/>
  <c r="R34" i="10" s="1"/>
  <c r="V46" i="2" l="1"/>
  <c r="W46" i="2" s="1"/>
  <c r="X46" i="2" s="1"/>
  <c r="Y46" i="2" s="1"/>
  <c r="Z46" i="2" s="1"/>
  <c r="AA46" i="2" s="1"/>
  <c r="AB46" i="2" s="1"/>
  <c r="L46" i="2"/>
  <c r="M46" i="2" s="1"/>
  <c r="N46" i="2" s="1"/>
  <c r="O46" i="2" s="1"/>
  <c r="P46" i="2" s="1"/>
  <c r="Q46" i="2" s="1"/>
  <c r="R46" i="2" s="1"/>
  <c r="S46" i="2" s="1"/>
  <c r="B46" i="2"/>
  <c r="C46" i="2" s="1"/>
  <c r="D46" i="2" s="1"/>
  <c r="E46" i="2" s="1"/>
  <c r="F46" i="2" s="1"/>
  <c r="G46" i="2" s="1"/>
  <c r="H46" i="2" s="1"/>
  <c r="I46" i="2" s="1"/>
  <c r="AK40" i="2" l="1"/>
  <c r="AK41" i="2"/>
  <c r="AK42" i="2"/>
  <c r="AK43" i="2"/>
  <c r="AK44" i="2"/>
  <c r="AK45" i="2"/>
  <c r="AJ46" i="2" l="1"/>
  <c r="AM46" i="2"/>
  <c r="AL46" i="2"/>
  <c r="AE7" i="2" l="1"/>
  <c r="AF7" i="2" s="1"/>
  <c r="AG7" i="2" s="1"/>
  <c r="AH7" i="2" s="1"/>
  <c r="AI7" i="2" s="1"/>
  <c r="AJ7" i="2" s="1"/>
  <c r="AK7" i="2" s="1"/>
  <c r="AL7" i="2" s="1"/>
  <c r="AM7" i="2" s="1"/>
  <c r="AN7" i="2" s="1"/>
  <c r="V7" i="2"/>
  <c r="W7" i="2" s="1"/>
  <c r="X7" i="2" s="1"/>
  <c r="Y7" i="2" s="1"/>
  <c r="Z7" i="2" s="1"/>
  <c r="AA7" i="2" s="1"/>
  <c r="AB7" i="2" s="1"/>
  <c r="L7" i="2"/>
  <c r="M7" i="2" s="1"/>
  <c r="N7" i="2" s="1"/>
  <c r="O7" i="2" s="1"/>
  <c r="P7" i="2" s="1"/>
  <c r="Q7" i="2" s="1"/>
  <c r="R7" i="2" s="1"/>
  <c r="S7" i="2" s="1"/>
  <c r="B7" i="2"/>
  <c r="C7" i="2" s="1"/>
  <c r="D7" i="2" s="1"/>
  <c r="E7" i="2" s="1"/>
  <c r="F7" i="2" s="1"/>
  <c r="G7" i="2" s="1"/>
  <c r="H7" i="2" s="1"/>
  <c r="I7" i="2" s="1"/>
  <c r="W78" i="2"/>
  <c r="Z78" i="2" s="1"/>
  <c r="W77" i="2"/>
  <c r="Z77" i="2" s="1"/>
  <c r="W76" i="2"/>
  <c r="Z76" i="2" s="1"/>
  <c r="W75" i="2"/>
  <c r="Z75" i="2" s="1"/>
  <c r="W74" i="2"/>
  <c r="Z74" i="2" s="1"/>
  <c r="W73" i="2"/>
  <c r="Z73" i="2" s="1"/>
  <c r="W70" i="2"/>
  <c r="Z70" i="2" s="1"/>
  <c r="W69" i="2"/>
  <c r="Z69" i="2" s="1"/>
  <c r="W68" i="2"/>
  <c r="Z68" i="2" s="1"/>
  <c r="W67" i="2"/>
  <c r="Z67" i="2" s="1"/>
  <c r="W66" i="2"/>
  <c r="Z66" i="2" s="1"/>
  <c r="W65" i="2"/>
  <c r="Z65" i="2" s="1"/>
  <c r="W62" i="2"/>
  <c r="Z62" i="2" s="1"/>
  <c r="W61" i="2"/>
  <c r="Z61" i="2" s="1"/>
  <c r="W60" i="2"/>
  <c r="Z60" i="2" s="1"/>
  <c r="W59" i="2"/>
  <c r="Z59" i="2" s="1"/>
  <c r="W58" i="2"/>
  <c r="Z58" i="2" s="1"/>
  <c r="W57" i="2"/>
  <c r="Z57" i="2" s="1"/>
  <c r="W54" i="2"/>
  <c r="Z54" i="2" s="1"/>
  <c r="W53" i="2"/>
  <c r="Z53" i="2" s="1"/>
  <c r="W52" i="2"/>
  <c r="Z52" i="2" s="1"/>
  <c r="W51" i="2"/>
  <c r="Z51" i="2" s="1"/>
  <c r="W50" i="2"/>
  <c r="Z50" i="2" s="1"/>
  <c r="W49" i="2"/>
  <c r="Z49" i="2" s="1"/>
  <c r="R78" i="2"/>
  <c r="AA78" i="2" s="1"/>
  <c r="P78" i="2"/>
  <c r="E78" i="2" s="1"/>
  <c r="N78" i="2"/>
  <c r="E30" i="3" s="1"/>
  <c r="F30" i="3" s="1"/>
  <c r="M78" i="2"/>
  <c r="K78" i="2"/>
  <c r="R77" i="2"/>
  <c r="AA77" i="2" s="1"/>
  <c r="P77" i="2"/>
  <c r="E77" i="2" s="1"/>
  <c r="N77" i="2"/>
  <c r="E29" i="3" s="1"/>
  <c r="F29" i="3" s="1"/>
  <c r="M77" i="2"/>
  <c r="K77" i="2"/>
  <c r="R76" i="2"/>
  <c r="AA76" i="2" s="1"/>
  <c r="P76" i="2"/>
  <c r="E76" i="2" s="1"/>
  <c r="N76" i="2"/>
  <c r="E28" i="3" s="1"/>
  <c r="F28" i="3" s="1"/>
  <c r="M76" i="2"/>
  <c r="K76" i="2"/>
  <c r="R75" i="2"/>
  <c r="AA75" i="2" s="1"/>
  <c r="P75" i="2"/>
  <c r="E75" i="2" s="1"/>
  <c r="N75" i="2"/>
  <c r="E27" i="3" s="1"/>
  <c r="F27" i="3" s="1"/>
  <c r="M75" i="2"/>
  <c r="K75" i="2"/>
  <c r="R74" i="2"/>
  <c r="AA74" i="2" s="1"/>
  <c r="P74" i="2"/>
  <c r="E74" i="2" s="1"/>
  <c r="N74" i="2"/>
  <c r="E26" i="3" s="1"/>
  <c r="F26" i="3" s="1"/>
  <c r="M74" i="2"/>
  <c r="K74" i="2"/>
  <c r="R73" i="2"/>
  <c r="AA73" i="2" s="1"/>
  <c r="P73" i="2"/>
  <c r="E73" i="2" s="1"/>
  <c r="N73" i="2"/>
  <c r="E25" i="3" s="1"/>
  <c r="F25" i="3" s="1"/>
  <c r="M73" i="2"/>
  <c r="K73" i="2"/>
  <c r="R70" i="2"/>
  <c r="P70" i="2"/>
  <c r="E70" i="2" s="1"/>
  <c r="F70" i="2" s="1"/>
  <c r="G70" i="2" s="1"/>
  <c r="I70" i="2" s="1"/>
  <c r="N70" i="2"/>
  <c r="M70" i="2"/>
  <c r="K70" i="2"/>
  <c r="R69" i="2"/>
  <c r="P69" i="2"/>
  <c r="E69" i="2" s="1"/>
  <c r="F69" i="2" s="1"/>
  <c r="G69" i="2" s="1"/>
  <c r="I69" i="2" s="1"/>
  <c r="N69" i="2"/>
  <c r="M69" i="2"/>
  <c r="K69" i="2"/>
  <c r="R68" i="2"/>
  <c r="P68" i="2"/>
  <c r="E68" i="2" s="1"/>
  <c r="F68" i="2" s="1"/>
  <c r="G68" i="2" s="1"/>
  <c r="I68" i="2" s="1"/>
  <c r="N68" i="2"/>
  <c r="M68" i="2"/>
  <c r="K68" i="2"/>
  <c r="R67" i="2"/>
  <c r="P67" i="2"/>
  <c r="E67" i="2" s="1"/>
  <c r="F67" i="2" s="1"/>
  <c r="G67" i="2" s="1"/>
  <c r="I67" i="2" s="1"/>
  <c r="N67" i="2"/>
  <c r="M67" i="2"/>
  <c r="K67" i="2"/>
  <c r="R66" i="2"/>
  <c r="P66" i="2"/>
  <c r="E66" i="2" s="1"/>
  <c r="F66" i="2" s="1"/>
  <c r="G66" i="2" s="1"/>
  <c r="I66" i="2" s="1"/>
  <c r="N66" i="2"/>
  <c r="M66" i="2"/>
  <c r="K66" i="2"/>
  <c r="R65" i="2"/>
  <c r="P65" i="2"/>
  <c r="E65" i="2" s="1"/>
  <c r="F65" i="2" s="1"/>
  <c r="G65" i="2" s="1"/>
  <c r="N65" i="2"/>
  <c r="M65" i="2"/>
  <c r="K65" i="2"/>
  <c r="R62" i="2"/>
  <c r="P62" i="2"/>
  <c r="E62" i="2" s="1"/>
  <c r="F62" i="2" s="1"/>
  <c r="G62" i="2" s="1"/>
  <c r="I62" i="2" s="1"/>
  <c r="N62" i="2"/>
  <c r="M62" i="2"/>
  <c r="K62" i="2"/>
  <c r="R61" i="2"/>
  <c r="P61" i="2"/>
  <c r="E61" i="2" s="1"/>
  <c r="F61" i="2" s="1"/>
  <c r="G61" i="2" s="1"/>
  <c r="I61" i="2" s="1"/>
  <c r="N61" i="2"/>
  <c r="M61" i="2"/>
  <c r="K61" i="2"/>
  <c r="R60" i="2"/>
  <c r="P60" i="2"/>
  <c r="E60" i="2" s="1"/>
  <c r="F60" i="2" s="1"/>
  <c r="G60" i="2" s="1"/>
  <c r="I60" i="2" s="1"/>
  <c r="N60" i="2"/>
  <c r="M60" i="2"/>
  <c r="K60" i="2"/>
  <c r="R59" i="2"/>
  <c r="P59" i="2"/>
  <c r="E59" i="2" s="1"/>
  <c r="F59" i="2" s="1"/>
  <c r="G59" i="2" s="1"/>
  <c r="I59" i="2" s="1"/>
  <c r="N59" i="2"/>
  <c r="M59" i="2"/>
  <c r="K59" i="2"/>
  <c r="R58" i="2"/>
  <c r="P58" i="2"/>
  <c r="E58" i="2" s="1"/>
  <c r="F58" i="2" s="1"/>
  <c r="G58" i="2" s="1"/>
  <c r="I58" i="2" s="1"/>
  <c r="N58" i="2"/>
  <c r="M58" i="2"/>
  <c r="K58" i="2"/>
  <c r="R57" i="2"/>
  <c r="P57" i="2"/>
  <c r="E57" i="2" s="1"/>
  <c r="F57" i="2" s="1"/>
  <c r="G57" i="2" s="1"/>
  <c r="I57" i="2" s="1"/>
  <c r="N57" i="2"/>
  <c r="M57" i="2"/>
  <c r="K57" i="2"/>
  <c r="R54" i="2"/>
  <c r="P54" i="2"/>
  <c r="E54" i="2" s="1"/>
  <c r="N54" i="2"/>
  <c r="M54" i="2"/>
  <c r="K54" i="2"/>
  <c r="R53" i="2"/>
  <c r="P53" i="2"/>
  <c r="E53" i="2" s="1"/>
  <c r="F53" i="2" s="1"/>
  <c r="N53" i="2"/>
  <c r="M53" i="2"/>
  <c r="K53" i="2"/>
  <c r="R52" i="2"/>
  <c r="P52" i="2"/>
  <c r="E52" i="2" s="1"/>
  <c r="F52" i="2" s="1"/>
  <c r="N52" i="2"/>
  <c r="M52" i="2"/>
  <c r="K52" i="2"/>
  <c r="R51" i="2"/>
  <c r="P51" i="2"/>
  <c r="E51" i="2" s="1"/>
  <c r="F51" i="2" s="1"/>
  <c r="N51" i="2"/>
  <c r="M51" i="2"/>
  <c r="K51" i="2"/>
  <c r="R50" i="2"/>
  <c r="P50" i="2"/>
  <c r="E50" i="2" s="1"/>
  <c r="N50" i="2"/>
  <c r="M50" i="2"/>
  <c r="K50" i="2"/>
  <c r="R49" i="2"/>
  <c r="P49" i="2"/>
  <c r="E49" i="2" s="1"/>
  <c r="F49" i="2" s="1"/>
  <c r="N49" i="2"/>
  <c r="M49" i="2"/>
  <c r="K49" i="2"/>
  <c r="B78" i="2"/>
  <c r="B77" i="2"/>
  <c r="B76" i="2"/>
  <c r="B75" i="2"/>
  <c r="B74" i="2"/>
  <c r="B73" i="2"/>
  <c r="B70" i="2"/>
  <c r="L70" i="2" s="1"/>
  <c r="U70" i="2" s="1"/>
  <c r="B69" i="2"/>
  <c r="L69" i="2" s="1"/>
  <c r="U69" i="2" s="1"/>
  <c r="B68" i="2"/>
  <c r="L68" i="2" s="1"/>
  <c r="U68" i="2" s="1"/>
  <c r="B67" i="2"/>
  <c r="L67" i="2" s="1"/>
  <c r="U67" i="2" s="1"/>
  <c r="B66" i="2"/>
  <c r="L66" i="2" s="1"/>
  <c r="U66" i="2" s="1"/>
  <c r="B65" i="2"/>
  <c r="L65" i="2" s="1"/>
  <c r="U65" i="2" s="1"/>
  <c r="B62" i="2"/>
  <c r="L62" i="2" s="1"/>
  <c r="U62" i="2" s="1"/>
  <c r="B61" i="2"/>
  <c r="L61" i="2" s="1"/>
  <c r="U61" i="2" s="1"/>
  <c r="B60" i="2"/>
  <c r="L60" i="2" s="1"/>
  <c r="U60" i="2" s="1"/>
  <c r="B59" i="2"/>
  <c r="L59" i="2" s="1"/>
  <c r="U59" i="2" s="1"/>
  <c r="B58" i="2"/>
  <c r="L58" i="2" s="1"/>
  <c r="U58" i="2" s="1"/>
  <c r="B57" i="2"/>
  <c r="L57" i="2" s="1"/>
  <c r="U57" i="2" s="1"/>
  <c r="B54" i="2"/>
  <c r="L54" i="2" s="1"/>
  <c r="U54" i="2" s="1"/>
  <c r="B53" i="2"/>
  <c r="L53" i="2" s="1"/>
  <c r="U53" i="2" s="1"/>
  <c r="B52" i="2"/>
  <c r="L52" i="2" s="1"/>
  <c r="U52" i="2" s="1"/>
  <c r="B51" i="2"/>
  <c r="L51" i="2" s="1"/>
  <c r="U51" i="2" s="1"/>
  <c r="B50" i="2"/>
  <c r="L50" i="2" s="1"/>
  <c r="U50" i="2" s="1"/>
  <c r="B49" i="2"/>
  <c r="L49" i="2" s="1"/>
  <c r="U49" i="2" s="1"/>
  <c r="L75" i="2" l="1"/>
  <c r="U75" i="2" s="1"/>
  <c r="C27" i="3"/>
  <c r="F76" i="2"/>
  <c r="G76" i="2" s="1"/>
  <c r="I76" i="2" s="1"/>
  <c r="G28" i="3"/>
  <c r="H28" i="3" s="1"/>
  <c r="J28" i="3" s="1"/>
  <c r="F41" i="3" s="1"/>
  <c r="L73" i="2"/>
  <c r="U73" i="2" s="1"/>
  <c r="C25" i="3"/>
  <c r="L74" i="2"/>
  <c r="U74" i="2" s="1"/>
  <c r="C26" i="3"/>
  <c r="L76" i="2"/>
  <c r="U76" i="2" s="1"/>
  <c r="C28" i="3"/>
  <c r="F73" i="2"/>
  <c r="G73" i="2" s="1"/>
  <c r="G25" i="3"/>
  <c r="H25" i="3" s="1"/>
  <c r="F77" i="2"/>
  <c r="G77" i="2" s="1"/>
  <c r="I77" i="2" s="1"/>
  <c r="G29" i="3"/>
  <c r="H29" i="3" s="1"/>
  <c r="J29" i="3" s="1"/>
  <c r="F42" i="3" s="1"/>
  <c r="L77" i="2"/>
  <c r="U77" i="2" s="1"/>
  <c r="C29" i="3"/>
  <c r="F74" i="2"/>
  <c r="G74" i="2" s="1"/>
  <c r="I74" i="2" s="1"/>
  <c r="G26" i="3"/>
  <c r="H26" i="3" s="1"/>
  <c r="J26" i="3" s="1"/>
  <c r="F39" i="3" s="1"/>
  <c r="F78" i="2"/>
  <c r="G78" i="2" s="1"/>
  <c r="I78" i="2" s="1"/>
  <c r="G30" i="3"/>
  <c r="H30" i="3" s="1"/>
  <c r="J30" i="3" s="1"/>
  <c r="F43" i="3" s="1"/>
  <c r="L78" i="2"/>
  <c r="U78" i="2" s="1"/>
  <c r="C30" i="3"/>
  <c r="F75" i="2"/>
  <c r="G75" i="2" s="1"/>
  <c r="I75" i="2" s="1"/>
  <c r="G27" i="3"/>
  <c r="H27" i="3" s="1"/>
  <c r="J27" i="3" s="1"/>
  <c r="F40" i="3" s="1"/>
  <c r="AB62" i="2"/>
  <c r="O51" i="2"/>
  <c r="Q51" i="2" s="1"/>
  <c r="S51" i="2" s="1"/>
  <c r="O57" i="2"/>
  <c r="Q57" i="2" s="1"/>
  <c r="O61" i="2"/>
  <c r="Q61" i="2" s="1"/>
  <c r="S61" i="2" s="1"/>
  <c r="O67" i="2"/>
  <c r="O73" i="2"/>
  <c r="Q73" i="2" s="1"/>
  <c r="O77" i="2"/>
  <c r="Q77" i="2" s="1"/>
  <c r="S77" i="2" s="1"/>
  <c r="AB60" i="2"/>
  <c r="AB54" i="2"/>
  <c r="AB78" i="2"/>
  <c r="O49" i="2"/>
  <c r="Q49" i="2" s="1"/>
  <c r="S49" i="2" s="1"/>
  <c r="O53" i="2"/>
  <c r="Q53" i="2" s="1"/>
  <c r="S53" i="2" s="1"/>
  <c r="O59" i="2"/>
  <c r="Q59" i="2" s="1"/>
  <c r="S59" i="2" s="1"/>
  <c r="O65" i="2"/>
  <c r="Q65" i="2" s="1"/>
  <c r="S65" i="2" s="1"/>
  <c r="O69" i="2"/>
  <c r="Q69" i="2" s="1"/>
  <c r="S69" i="2" s="1"/>
  <c r="O75" i="2"/>
  <c r="Q75" i="2" s="1"/>
  <c r="S75" i="2" s="1"/>
  <c r="AB50" i="2"/>
  <c r="AB68" i="2"/>
  <c r="AB52" i="2"/>
  <c r="AB76" i="2"/>
  <c r="AB66" i="2"/>
  <c r="AB49" i="2"/>
  <c r="AB57" i="2"/>
  <c r="AB70" i="2"/>
  <c r="AB75" i="2"/>
  <c r="O50" i="2"/>
  <c r="Q50" i="2" s="1"/>
  <c r="S50" i="2" s="1"/>
  <c r="O54" i="2"/>
  <c r="Q54" i="2" s="1"/>
  <c r="S54" i="2" s="1"/>
  <c r="O60" i="2"/>
  <c r="Q60" i="2" s="1"/>
  <c r="S60" i="2" s="1"/>
  <c r="O66" i="2"/>
  <c r="Q66" i="2" s="1"/>
  <c r="S66" i="2" s="1"/>
  <c r="O70" i="2"/>
  <c r="Q70" i="2" s="1"/>
  <c r="S70" i="2" s="1"/>
  <c r="O76" i="2"/>
  <c r="Q76" i="2" s="1"/>
  <c r="S76" i="2" s="1"/>
  <c r="AB59" i="2"/>
  <c r="AB67" i="2"/>
  <c r="AB74" i="2"/>
  <c r="AB77" i="2"/>
  <c r="AB51" i="2"/>
  <c r="AB58" i="2"/>
  <c r="AB61" i="2"/>
  <c r="AB69" i="2"/>
  <c r="O52" i="2"/>
  <c r="Q52" i="2" s="1"/>
  <c r="S52" i="2" s="1"/>
  <c r="O58" i="2"/>
  <c r="Q58" i="2" s="1"/>
  <c r="S58" i="2" s="1"/>
  <c r="O62" i="2"/>
  <c r="Q62" i="2" s="1"/>
  <c r="S62" i="2" s="1"/>
  <c r="O68" i="2"/>
  <c r="Q68" i="2" s="1"/>
  <c r="S68" i="2" s="1"/>
  <c r="O74" i="2"/>
  <c r="Q74" i="2" s="1"/>
  <c r="S74" i="2" s="1"/>
  <c r="O78" i="2"/>
  <c r="Q78" i="2" s="1"/>
  <c r="S78" i="2" s="1"/>
  <c r="AB53" i="2"/>
  <c r="AB65" i="2"/>
  <c r="AB73" i="2"/>
  <c r="Q67" i="2"/>
  <c r="S67" i="2" s="1"/>
  <c r="I63" i="2"/>
  <c r="G71" i="2"/>
  <c r="I65" i="2"/>
  <c r="I71" i="2" s="1"/>
  <c r="I73" i="2"/>
  <c r="G63" i="2"/>
  <c r="G52" i="2"/>
  <c r="I52" i="2" s="1"/>
  <c r="F50" i="2"/>
  <c r="G50" i="2" s="1"/>
  <c r="I50" i="2" s="1"/>
  <c r="F54" i="2"/>
  <c r="G54" i="2" s="1"/>
  <c r="I54" i="2" s="1"/>
  <c r="G51" i="2"/>
  <c r="I51" i="2" s="1"/>
  <c r="G53" i="2"/>
  <c r="I53" i="2" s="1"/>
  <c r="G49" i="2"/>
  <c r="I49" i="2" s="1"/>
  <c r="I79" i="2" l="1"/>
  <c r="J25" i="3"/>
  <c r="H31" i="3"/>
  <c r="G79" i="2"/>
  <c r="Q79" i="2"/>
  <c r="S73" i="2"/>
  <c r="S79" i="2" s="1"/>
  <c r="S57" i="2"/>
  <c r="S63" i="2" s="1"/>
  <c r="Q71" i="2"/>
  <c r="Q63" i="2"/>
  <c r="Q55" i="2"/>
  <c r="S55" i="2"/>
  <c r="S71" i="2"/>
  <c r="G55" i="2"/>
  <c r="I55" i="2"/>
  <c r="F38" i="3" l="1"/>
  <c r="J31" i="3"/>
  <c r="F31" i="2"/>
  <c r="B39" i="2" l="1"/>
  <c r="B38" i="2"/>
  <c r="B37" i="2"/>
  <c r="B36" i="2"/>
  <c r="B35" i="2"/>
  <c r="B34" i="2"/>
  <c r="B31" i="2"/>
  <c r="B30" i="2"/>
  <c r="B29" i="2"/>
  <c r="B28" i="2"/>
  <c r="B27" i="2"/>
  <c r="B26" i="2"/>
  <c r="B23" i="2"/>
  <c r="B22" i="2"/>
  <c r="B21" i="2"/>
  <c r="B20" i="2"/>
  <c r="B19" i="2"/>
  <c r="B18" i="2"/>
  <c r="B15" i="2"/>
  <c r="B14" i="2"/>
  <c r="B13" i="2"/>
  <c r="B12" i="2"/>
  <c r="B11" i="2"/>
  <c r="B10" i="2"/>
  <c r="S3" i="2"/>
  <c r="F44" i="3" l="1"/>
  <c r="G53" i="3" s="1"/>
  <c r="I12" i="3" l="1"/>
  <c r="I13" i="3"/>
  <c r="I14" i="3"/>
  <c r="I15" i="3"/>
  <c r="I16" i="3"/>
  <c r="I11" i="3"/>
  <c r="D12" i="3"/>
  <c r="D13" i="3"/>
  <c r="D14" i="3"/>
  <c r="D15" i="3"/>
  <c r="D16" i="3"/>
  <c r="D11" i="3"/>
  <c r="B12" i="3"/>
  <c r="C12" i="3"/>
  <c r="B13" i="3"/>
  <c r="C13" i="3"/>
  <c r="B14" i="3"/>
  <c r="C14" i="3"/>
  <c r="B15" i="3"/>
  <c r="C15" i="3"/>
  <c r="B16" i="3"/>
  <c r="C16" i="3"/>
  <c r="C11" i="3"/>
  <c r="B11" i="3"/>
  <c r="B40" i="3" l="1"/>
  <c r="C33" i="3"/>
  <c r="D33" i="3" s="1"/>
  <c r="E33" i="3" s="1"/>
  <c r="F33" i="3" s="1"/>
  <c r="G33" i="3" s="1"/>
  <c r="C43" i="3"/>
  <c r="B43" i="3"/>
  <c r="C42" i="3"/>
  <c r="B42" i="3"/>
  <c r="C41" i="3"/>
  <c r="B41" i="3"/>
  <c r="C40" i="3"/>
  <c r="C39" i="3"/>
  <c r="B39" i="3"/>
  <c r="C38" i="3"/>
  <c r="B38" i="3"/>
  <c r="C7" i="3"/>
  <c r="D7" i="3" s="1"/>
  <c r="E7" i="3" s="1"/>
  <c r="F7" i="3" s="1"/>
  <c r="G7" i="3" s="1"/>
  <c r="H7" i="3" s="1"/>
  <c r="I7" i="3" s="1"/>
  <c r="J7" i="3" s="1"/>
  <c r="AM16" i="2" l="1"/>
  <c r="AM50" i="2" s="1"/>
  <c r="AM26" i="2"/>
  <c r="AM51" i="2" s="1"/>
  <c r="AM36" i="2"/>
  <c r="AM52" i="2" s="1"/>
  <c r="AL36" i="2" l="1"/>
  <c r="AL52" i="2" s="1"/>
  <c r="AL26" i="2"/>
  <c r="AL51" i="2" s="1"/>
  <c r="AJ36" i="2"/>
  <c r="AJ52" i="2" s="1"/>
  <c r="AJ26" i="2"/>
  <c r="AJ51" i="2" s="1"/>
  <c r="AK35" i="2"/>
  <c r="AK34" i="2"/>
  <c r="AK33" i="2"/>
  <c r="AK32" i="2"/>
  <c r="AK31" i="2"/>
  <c r="AK30" i="2"/>
  <c r="AK25" i="2"/>
  <c r="AK24" i="2"/>
  <c r="AK23" i="2"/>
  <c r="AK22" i="2"/>
  <c r="AK21" i="2"/>
  <c r="AK20" i="2"/>
  <c r="W18" i="2" l="1"/>
  <c r="W19" i="2"/>
  <c r="W20" i="2"/>
  <c r="K35" i="2"/>
  <c r="L35" i="2"/>
  <c r="U35" i="2" s="1"/>
  <c r="K36" i="2"/>
  <c r="L36" i="2"/>
  <c r="U36" i="2" s="1"/>
  <c r="K37" i="2"/>
  <c r="L37" i="2"/>
  <c r="U37" i="2" s="1"/>
  <c r="AD43" i="2" s="1"/>
  <c r="K38" i="2"/>
  <c r="L38" i="2"/>
  <c r="U38" i="2" s="1"/>
  <c r="AD44" i="2" s="1"/>
  <c r="K39" i="2"/>
  <c r="L39" i="2"/>
  <c r="U39" i="2" s="1"/>
  <c r="AD45" i="2" s="1"/>
  <c r="L34" i="2"/>
  <c r="U34" i="2" s="1"/>
  <c r="AD40" i="2" s="1"/>
  <c r="K34" i="2"/>
  <c r="M18" i="2"/>
  <c r="P18" i="2"/>
  <c r="R18" i="2"/>
  <c r="M19" i="2"/>
  <c r="P19" i="2"/>
  <c r="R19" i="2"/>
  <c r="M20" i="2"/>
  <c r="P20" i="2"/>
  <c r="R20" i="2"/>
  <c r="K27" i="2"/>
  <c r="L27" i="2"/>
  <c r="U27" i="2" s="1"/>
  <c r="AD31" i="2" s="1"/>
  <c r="K28" i="2"/>
  <c r="L28" i="2"/>
  <c r="U28" i="2" s="1"/>
  <c r="AD32" i="2" s="1"/>
  <c r="K29" i="2"/>
  <c r="L29" i="2"/>
  <c r="U29" i="2" s="1"/>
  <c r="AD33" i="2" s="1"/>
  <c r="K30" i="2"/>
  <c r="L30" i="2"/>
  <c r="U30" i="2" s="1"/>
  <c r="AD34" i="2" s="1"/>
  <c r="K31" i="2"/>
  <c r="L31" i="2"/>
  <c r="U31" i="2" s="1"/>
  <c r="AD35" i="2" s="1"/>
  <c r="L26" i="2"/>
  <c r="U26" i="2" s="1"/>
  <c r="AD30" i="2" s="1"/>
  <c r="K26" i="2"/>
  <c r="K19" i="2"/>
  <c r="L19" i="2"/>
  <c r="U19" i="2" s="1"/>
  <c r="AD21" i="2" s="1"/>
  <c r="K20" i="2"/>
  <c r="L20" i="2"/>
  <c r="U20" i="2" s="1"/>
  <c r="AD22" i="2" s="1"/>
  <c r="K21" i="2"/>
  <c r="L21" i="2"/>
  <c r="U21" i="2" s="1"/>
  <c r="AD23" i="2" s="1"/>
  <c r="K22" i="2"/>
  <c r="L22" i="2"/>
  <c r="U22" i="2" s="1"/>
  <c r="AD24" i="2" s="1"/>
  <c r="K23" i="2"/>
  <c r="L23" i="2"/>
  <c r="U23" i="2" s="1"/>
  <c r="AD25" i="2" s="1"/>
  <c r="L18" i="2"/>
  <c r="U18" i="2" s="1"/>
  <c r="AD20" i="2" s="1"/>
  <c r="K18" i="2"/>
  <c r="E18" i="2"/>
  <c r="F18" i="2" s="1"/>
  <c r="E19" i="2"/>
  <c r="F19" i="2" s="1"/>
  <c r="E20" i="2"/>
  <c r="F20" i="2" s="1"/>
  <c r="AA20" i="2" l="1"/>
  <c r="AA19" i="2"/>
  <c r="AA18" i="2"/>
  <c r="G18" i="2"/>
  <c r="I18" i="2" s="1"/>
  <c r="G20" i="2"/>
  <c r="I20" i="2" s="1"/>
  <c r="G19" i="2"/>
  <c r="I19" i="2" s="1"/>
  <c r="W31" i="2" l="1"/>
  <c r="P31" i="2"/>
  <c r="M31" i="2"/>
  <c r="R31" i="2"/>
  <c r="W30" i="2"/>
  <c r="P30" i="2"/>
  <c r="M30" i="2"/>
  <c r="R30" i="2"/>
  <c r="F30" i="2"/>
  <c r="W29" i="2"/>
  <c r="P29" i="2"/>
  <c r="M29" i="2"/>
  <c r="R29" i="2"/>
  <c r="F29" i="2"/>
  <c r="W28" i="2"/>
  <c r="P28" i="2"/>
  <c r="M28" i="2"/>
  <c r="R28" i="2"/>
  <c r="F28" i="2"/>
  <c r="W27" i="2"/>
  <c r="P27" i="2"/>
  <c r="M27" i="2"/>
  <c r="R27" i="2"/>
  <c r="F27" i="2"/>
  <c r="W26" i="2"/>
  <c r="P26" i="2"/>
  <c r="M26" i="2"/>
  <c r="R26" i="2"/>
  <c r="F26" i="2"/>
  <c r="W23" i="2"/>
  <c r="P23" i="2"/>
  <c r="M23" i="2"/>
  <c r="R23" i="2"/>
  <c r="E23" i="2"/>
  <c r="F23" i="2" s="1"/>
  <c r="W22" i="2"/>
  <c r="P22" i="2"/>
  <c r="M22" i="2"/>
  <c r="R22" i="2"/>
  <c r="E22" i="2"/>
  <c r="F22" i="2" s="1"/>
  <c r="W21" i="2"/>
  <c r="P21" i="2"/>
  <c r="M21" i="2"/>
  <c r="R21" i="2"/>
  <c r="E21" i="2"/>
  <c r="F21" i="2" s="1"/>
  <c r="AL16" i="2"/>
  <c r="AJ16" i="2"/>
  <c r="AK15" i="2"/>
  <c r="W15" i="2"/>
  <c r="R15" i="2"/>
  <c r="P15" i="2"/>
  <c r="M15" i="2"/>
  <c r="L15" i="2"/>
  <c r="U15" i="2" s="1"/>
  <c r="AD15" i="2" s="1"/>
  <c r="K15" i="2"/>
  <c r="E15" i="2"/>
  <c r="F15" i="2" s="1"/>
  <c r="AK14" i="2"/>
  <c r="W14" i="2"/>
  <c r="R14" i="2"/>
  <c r="P14" i="2"/>
  <c r="M14" i="2"/>
  <c r="L14" i="2"/>
  <c r="U14" i="2" s="1"/>
  <c r="AD14" i="2" s="1"/>
  <c r="K14" i="2"/>
  <c r="E14" i="2"/>
  <c r="F14" i="2" s="1"/>
  <c r="AK13" i="2"/>
  <c r="W13" i="2"/>
  <c r="R13" i="2"/>
  <c r="P13" i="2"/>
  <c r="M13" i="2"/>
  <c r="L13" i="2"/>
  <c r="U13" i="2" s="1"/>
  <c r="AD13" i="2" s="1"/>
  <c r="K13" i="2"/>
  <c r="E13" i="2"/>
  <c r="F13" i="2" s="1"/>
  <c r="AK12" i="2"/>
  <c r="W12" i="2"/>
  <c r="R12" i="2"/>
  <c r="P12" i="2"/>
  <c r="M12" i="2"/>
  <c r="L12" i="2"/>
  <c r="U12" i="2" s="1"/>
  <c r="AD12" i="2" s="1"/>
  <c r="K12" i="2"/>
  <c r="E12" i="2"/>
  <c r="F12" i="2" s="1"/>
  <c r="AK11" i="2"/>
  <c r="W11" i="2"/>
  <c r="R11" i="2"/>
  <c r="P11" i="2"/>
  <c r="M11" i="2"/>
  <c r="L11" i="2"/>
  <c r="U11" i="2" s="1"/>
  <c r="AD11" i="2" s="1"/>
  <c r="K11" i="2"/>
  <c r="E11" i="2"/>
  <c r="F11" i="2" s="1"/>
  <c r="AK10" i="2"/>
  <c r="W10" i="2"/>
  <c r="R10" i="2"/>
  <c r="P10" i="2"/>
  <c r="M10" i="2"/>
  <c r="L10" i="2"/>
  <c r="U10" i="2" s="1"/>
  <c r="AD10" i="2" s="1"/>
  <c r="K10" i="2"/>
  <c r="E10" i="2"/>
  <c r="F10" i="2" s="1"/>
  <c r="AA15" i="2" l="1"/>
  <c r="AA26" i="2"/>
  <c r="AA13" i="2"/>
  <c r="AA29" i="2"/>
  <c r="AA10" i="2"/>
  <c r="AA14" i="2"/>
  <c r="G12" i="2"/>
  <c r="I12" i="2" s="1"/>
  <c r="G22" i="2"/>
  <c r="I22" i="2" s="1"/>
  <c r="G26" i="2"/>
  <c r="I26" i="2" s="1"/>
  <c r="G30" i="2"/>
  <c r="I30" i="2" s="1"/>
  <c r="G13" i="2"/>
  <c r="I13" i="2" s="1"/>
  <c r="G10" i="2"/>
  <c r="I10" i="2" s="1"/>
  <c r="G14" i="2"/>
  <c r="I14" i="2" s="1"/>
  <c r="G21" i="2"/>
  <c r="I21" i="2" s="1"/>
  <c r="G23" i="2"/>
  <c r="I23" i="2" s="1"/>
  <c r="G27" i="2"/>
  <c r="I27" i="2" s="1"/>
  <c r="G29" i="2"/>
  <c r="I29" i="2" s="1"/>
  <c r="G31" i="2"/>
  <c r="I31" i="2" s="1"/>
  <c r="G28" i="2"/>
  <c r="I28" i="2" s="1"/>
  <c r="G11" i="2"/>
  <c r="I11" i="2" s="1"/>
  <c r="G15" i="2"/>
  <c r="I15" i="2" s="1"/>
  <c r="AJ50" i="2"/>
  <c r="AL50" i="2"/>
  <c r="AA27" i="2"/>
  <c r="AA28" i="2"/>
  <c r="AA30" i="2"/>
  <c r="AA31" i="2"/>
  <c r="AA22" i="2"/>
  <c r="AA11" i="2"/>
  <c r="AA12" i="2"/>
  <c r="AA21" i="2"/>
  <c r="AA23" i="2"/>
  <c r="I32" i="2" l="1"/>
  <c r="I24" i="2"/>
  <c r="I16" i="2"/>
  <c r="G16" i="2"/>
  <c r="G24" i="2"/>
  <c r="G32" i="2"/>
  <c r="W36" i="2" l="1"/>
  <c r="W35" i="2"/>
  <c r="W34" i="2"/>
  <c r="P36" i="2"/>
  <c r="M36" i="2"/>
  <c r="P35" i="2"/>
  <c r="M35" i="2"/>
  <c r="P34" i="2"/>
  <c r="M34" i="2"/>
  <c r="R36" i="2"/>
  <c r="R35" i="2"/>
  <c r="R34" i="2"/>
  <c r="F36" i="2"/>
  <c r="F35" i="2"/>
  <c r="F34" i="2"/>
  <c r="AA36" i="2" l="1"/>
  <c r="AA34" i="2"/>
  <c r="AA35" i="2"/>
  <c r="G35" i="2"/>
  <c r="I35" i="2" s="1"/>
  <c r="G12" i="3"/>
  <c r="G34" i="2"/>
  <c r="I34" i="2" s="1"/>
  <c r="G11" i="3"/>
  <c r="G36" i="2"/>
  <c r="I36" i="2" s="1"/>
  <c r="G13" i="3"/>
  <c r="E39" i="2" l="1"/>
  <c r="F39" i="2" s="1"/>
  <c r="E38" i="2"/>
  <c r="F38" i="2" s="1"/>
  <c r="E37" i="2"/>
  <c r="F37" i="2" s="1"/>
  <c r="G16" i="3" l="1"/>
  <c r="G39" i="2"/>
  <c r="I39" i="2" s="1"/>
  <c r="G14" i="3"/>
  <c r="G37" i="2"/>
  <c r="I37" i="2" s="1"/>
  <c r="G15" i="3"/>
  <c r="G38" i="2"/>
  <c r="I38" i="2" s="1"/>
  <c r="P39" i="2"/>
  <c r="M39" i="2"/>
  <c r="P38" i="2"/>
  <c r="M38" i="2"/>
  <c r="P37" i="2"/>
  <c r="M37" i="2"/>
  <c r="W39" i="2"/>
  <c r="W38" i="2"/>
  <c r="W37" i="2"/>
  <c r="R39" i="2"/>
  <c r="R38" i="2"/>
  <c r="R37" i="2"/>
  <c r="AA37" i="2" l="1"/>
  <c r="AA38" i="2"/>
  <c r="I40" i="2"/>
  <c r="AA39" i="2"/>
  <c r="G40" i="2"/>
  <c r="AM48" i="2" l="1"/>
  <c r="AM53" i="2" s="1"/>
  <c r="AL48" i="2"/>
  <c r="AL53" i="2" s="1"/>
  <c r="K3" i="2"/>
  <c r="AJ48" i="2"/>
  <c r="AJ53" i="2" s="1"/>
  <c r="Z20" i="2"/>
  <c r="AB20" i="2" s="1"/>
  <c r="Z29" i="2"/>
  <c r="AB29" i="2" s="1"/>
  <c r="Z22" i="2"/>
  <c r="AB22" i="2" s="1"/>
  <c r="N28" i="2"/>
  <c r="Z28" i="2"/>
  <c r="AB28" i="2" s="1"/>
  <c r="Z19" i="2"/>
  <c r="AB19" i="2" s="1"/>
  <c r="N12" i="2"/>
  <c r="Z12" i="2"/>
  <c r="AB12" i="2" s="1"/>
  <c r="Z15" i="2"/>
  <c r="AB15" i="2" s="1"/>
  <c r="N15" i="2"/>
  <c r="O15" i="2" s="1"/>
  <c r="Q15" i="2" s="1"/>
  <c r="S15" i="2" s="1"/>
  <c r="Z38" i="2"/>
  <c r="AB38" i="2" s="1"/>
  <c r="AE44" i="2" s="1"/>
  <c r="AG44" i="2" s="1"/>
  <c r="AN44" i="2" s="1"/>
  <c r="D42" i="3" s="1"/>
  <c r="N19" i="2"/>
  <c r="O19" i="2" s="1"/>
  <c r="Q19" i="2" s="1"/>
  <c r="S19" i="2" s="1"/>
  <c r="N20" i="2"/>
  <c r="O20" i="2" s="1"/>
  <c r="Q20" i="2" s="1"/>
  <c r="S20" i="2" s="1"/>
  <c r="N11" i="2"/>
  <c r="Z11" i="2"/>
  <c r="AB11" i="2" s="1"/>
  <c r="N22" i="2"/>
  <c r="O22" i="2" s="1"/>
  <c r="Q22" i="2" s="1"/>
  <c r="S22" i="2" s="1"/>
  <c r="N13" i="2"/>
  <c r="Z13" i="2"/>
  <c r="AB13" i="2" s="1"/>
  <c r="N29" i="2"/>
  <c r="O29" i="2" s="1"/>
  <c r="Q29" i="2" s="1"/>
  <c r="S29" i="2" s="1"/>
  <c r="N14" i="2"/>
  <c r="O14" i="2" s="1"/>
  <c r="Q14" i="2" s="1"/>
  <c r="S14" i="2" s="1"/>
  <c r="Z14" i="2"/>
  <c r="AB14" i="2" s="1"/>
  <c r="N31" i="2"/>
  <c r="Z31" i="2"/>
  <c r="AB31" i="2" s="1"/>
  <c r="N23" i="2"/>
  <c r="O23" i="2" s="1"/>
  <c r="Q23" i="2" s="1"/>
  <c r="S23" i="2" s="1"/>
  <c r="Z23" i="2"/>
  <c r="AB23" i="2" s="1"/>
  <c r="N27" i="2"/>
  <c r="Z27" i="2"/>
  <c r="AB27" i="2" s="1"/>
  <c r="N30" i="2"/>
  <c r="Z30" i="2"/>
  <c r="AB30" i="2" s="1"/>
  <c r="N21" i="2"/>
  <c r="Z21" i="2"/>
  <c r="AB21" i="2" s="1"/>
  <c r="N26" i="2"/>
  <c r="Z26" i="2"/>
  <c r="AB26" i="2" s="1"/>
  <c r="N35" i="2"/>
  <c r="O35" i="2" s="1"/>
  <c r="Q35" i="2" s="1"/>
  <c r="S35" i="2" s="1"/>
  <c r="Z35" i="2"/>
  <c r="AB35" i="2" s="1"/>
  <c r="N36" i="2"/>
  <c r="O36" i="2" s="1"/>
  <c r="Q36" i="2" s="1"/>
  <c r="S36" i="2" s="1"/>
  <c r="Z36" i="2"/>
  <c r="AB36" i="2" s="1"/>
  <c r="N39" i="2"/>
  <c r="Z39" i="2"/>
  <c r="AB39" i="2" s="1"/>
  <c r="N38" i="2"/>
  <c r="O38" i="2" s="1"/>
  <c r="Q38" i="2" s="1"/>
  <c r="S38" i="2" s="1"/>
  <c r="N18" i="2"/>
  <c r="Z18" i="2"/>
  <c r="AB18" i="2" s="1"/>
  <c r="N37" i="2"/>
  <c r="O37" i="2" s="1"/>
  <c r="Q37" i="2" s="1"/>
  <c r="S37" i="2" s="1"/>
  <c r="Z37" i="2"/>
  <c r="AB37" i="2" s="1"/>
  <c r="Z34" i="2"/>
  <c r="AB34" i="2" s="1"/>
  <c r="N10" i="2"/>
  <c r="Z10" i="2"/>
  <c r="AB10" i="2" s="1"/>
  <c r="N34" i="2"/>
  <c r="O34" i="2" s="1"/>
  <c r="Q34" i="2" s="1"/>
  <c r="AE45" i="2" l="1"/>
  <c r="AG45" i="2" s="1"/>
  <c r="AN45" i="2" s="1"/>
  <c r="D43" i="3" s="1"/>
  <c r="AE40" i="2"/>
  <c r="AG40" i="2" s="1"/>
  <c r="AN40" i="2" s="1"/>
  <c r="AE33" i="2"/>
  <c r="AG33" i="2" s="1"/>
  <c r="AN33" i="2" s="1"/>
  <c r="AE31" i="2"/>
  <c r="AG31" i="2" s="1"/>
  <c r="AN31" i="2" s="1"/>
  <c r="AE30" i="2"/>
  <c r="AG30" i="2" s="1"/>
  <c r="AE34" i="2"/>
  <c r="AG34" i="2" s="1"/>
  <c r="AN34" i="2" s="1"/>
  <c r="AE32" i="2"/>
  <c r="AG32" i="2" s="1"/>
  <c r="AN32" i="2" s="1"/>
  <c r="AE35" i="2"/>
  <c r="AG35" i="2" s="1"/>
  <c r="AN35" i="2" s="1"/>
  <c r="AE23" i="2"/>
  <c r="AG23" i="2" s="1"/>
  <c r="AN23" i="2" s="1"/>
  <c r="AE22" i="2"/>
  <c r="AG22" i="2" s="1"/>
  <c r="AN22" i="2" s="1"/>
  <c r="AE25" i="2"/>
  <c r="AG25" i="2" s="1"/>
  <c r="AN25" i="2" s="1"/>
  <c r="AE24" i="2"/>
  <c r="AG24" i="2" s="1"/>
  <c r="AN24" i="2" s="1"/>
  <c r="AE20" i="2"/>
  <c r="AG20" i="2" s="1"/>
  <c r="AN20" i="2" s="1"/>
  <c r="AE21" i="2"/>
  <c r="AG21" i="2" s="1"/>
  <c r="AN21" i="2" s="1"/>
  <c r="AE42" i="2"/>
  <c r="AG42" i="2" s="1"/>
  <c r="AN42" i="2" s="1"/>
  <c r="D40" i="3" s="1"/>
  <c r="AE41" i="2"/>
  <c r="AG41" i="2" s="1"/>
  <c r="AN41" i="2" s="1"/>
  <c r="D39" i="3" s="1"/>
  <c r="AE43" i="2"/>
  <c r="AG43" i="2" s="1"/>
  <c r="AN43" i="2" s="1"/>
  <c r="D41" i="3" s="1"/>
  <c r="AE15" i="2"/>
  <c r="AG15" i="2" s="1"/>
  <c r="AN15" i="2" s="1"/>
  <c r="AE14" i="2"/>
  <c r="AG14" i="2" s="1"/>
  <c r="AN14" i="2" s="1"/>
  <c r="AE13" i="2"/>
  <c r="AG13" i="2" s="1"/>
  <c r="AN13" i="2" s="1"/>
  <c r="AE11" i="2"/>
  <c r="AG11" i="2" s="1"/>
  <c r="AE12" i="2"/>
  <c r="AG12" i="2" s="1"/>
  <c r="AN12" i="2" s="1"/>
  <c r="AE10" i="2"/>
  <c r="AG10" i="2" s="1"/>
  <c r="AN10" i="2" s="1"/>
  <c r="E15" i="3"/>
  <c r="F15" i="3" s="1"/>
  <c r="H15" i="3" s="1"/>
  <c r="J15" i="3" s="1"/>
  <c r="E42" i="3" s="1"/>
  <c r="G42" i="3" s="1"/>
  <c r="O26" i="2"/>
  <c r="Q26" i="2" s="1"/>
  <c r="S26" i="2" s="1"/>
  <c r="O30" i="2"/>
  <c r="Q30" i="2" s="1"/>
  <c r="S30" i="2" s="1"/>
  <c r="E13" i="3"/>
  <c r="F13" i="3" s="1"/>
  <c r="H13" i="3" s="1"/>
  <c r="J13" i="3" s="1"/>
  <c r="E40" i="3" s="1"/>
  <c r="G40" i="3" s="1"/>
  <c r="E12" i="3"/>
  <c r="F12" i="3" s="1"/>
  <c r="H12" i="3" s="1"/>
  <c r="J12" i="3" s="1"/>
  <c r="E39" i="3" s="1"/>
  <c r="G39" i="3" s="1"/>
  <c r="O12" i="2"/>
  <c r="Q12" i="2" s="1"/>
  <c r="S12" i="2" s="1"/>
  <c r="S34" i="2"/>
  <c r="O13" i="2"/>
  <c r="Q13" i="2" s="1"/>
  <c r="S13" i="2" s="1"/>
  <c r="E11" i="3"/>
  <c r="F11" i="3" s="1"/>
  <c r="H11" i="3" s="1"/>
  <c r="O18" i="2"/>
  <c r="Q18" i="2" s="1"/>
  <c r="E14" i="3"/>
  <c r="F14" i="3" s="1"/>
  <c r="H14" i="3" s="1"/>
  <c r="J14" i="3" s="1"/>
  <c r="E41" i="3" s="1"/>
  <c r="O11" i="2"/>
  <c r="Q11" i="2" s="1"/>
  <c r="S11" i="2" s="1"/>
  <c r="O28" i="2"/>
  <c r="Q28" i="2" s="1"/>
  <c r="S28" i="2" s="1"/>
  <c r="E16" i="3"/>
  <c r="F16" i="3" s="1"/>
  <c r="H16" i="3" s="1"/>
  <c r="J16" i="3" s="1"/>
  <c r="E43" i="3" s="1"/>
  <c r="O39" i="2"/>
  <c r="Q39" i="2" s="1"/>
  <c r="S39" i="2" s="1"/>
  <c r="O21" i="2"/>
  <c r="Q21" i="2" s="1"/>
  <c r="S21" i="2" s="1"/>
  <c r="O31" i="2"/>
  <c r="Q31" i="2" s="1"/>
  <c r="S31" i="2" s="1"/>
  <c r="O10" i="2"/>
  <c r="Q10" i="2" s="1"/>
  <c r="O27" i="2"/>
  <c r="Q27" i="2" s="1"/>
  <c r="S27" i="2" s="1"/>
  <c r="G41" i="3" l="1"/>
  <c r="G43" i="3"/>
  <c r="AG36" i="2"/>
  <c r="AG52" i="2" s="1"/>
  <c r="AN30" i="2"/>
  <c r="AG26" i="2"/>
  <c r="AG51" i="2" s="1"/>
  <c r="AG46" i="2"/>
  <c r="AN11" i="2"/>
  <c r="AG16" i="2"/>
  <c r="S40" i="2"/>
  <c r="S32" i="2"/>
  <c r="S18" i="2"/>
  <c r="S24" i="2" s="1"/>
  <c r="Q24" i="2"/>
  <c r="Q40" i="2"/>
  <c r="Q32" i="2"/>
  <c r="Q16" i="2"/>
  <c r="S10" i="2"/>
  <c r="S16" i="2" s="1"/>
  <c r="J11" i="3"/>
  <c r="H17" i="3"/>
  <c r="D38" i="3"/>
  <c r="AN46" i="2"/>
  <c r="AN26" i="2"/>
  <c r="AN28" i="2" s="1"/>
  <c r="AN16" i="2" l="1"/>
  <c r="AN18" i="2" s="1"/>
  <c r="AN36" i="2"/>
  <c r="AN38" i="2" s="1"/>
  <c r="AG48" i="2"/>
  <c r="AG50" i="2"/>
  <c r="D44" i="3"/>
  <c r="H50" i="3" s="1"/>
  <c r="AN51" i="2"/>
  <c r="E38" i="3"/>
  <c r="E44" i="3" s="1"/>
  <c r="G52" i="3" s="1"/>
  <c r="J17" i="3"/>
  <c r="G38" i="3" l="1"/>
  <c r="G44" i="3" s="1"/>
  <c r="G54" i="3" s="1"/>
  <c r="AN50" i="2"/>
  <c r="AN48" i="2"/>
  <c r="AN52" i="2"/>
  <c r="AG53" i="2"/>
  <c r="AN53" i="2" l="1"/>
  <c r="H56" i="3"/>
  <c r="H58" i="3" s="1"/>
</calcChain>
</file>

<file path=xl/sharedStrings.xml><?xml version="1.0" encoding="utf-8"?>
<sst xmlns="http://schemas.openxmlformats.org/spreadsheetml/2006/main" count="445" uniqueCount="216">
  <si>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</si>
  <si>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</si>
  <si>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</si>
  <si>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</si>
  <si>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</si>
  <si>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</si>
  <si>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</si>
  <si>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</si>
  <si>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</si>
  <si>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</si>
  <si>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</si>
  <si>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</si>
  <si>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</si>
  <si>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</si>
  <si>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</si>
  <si>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</si>
  <si>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</si>
  <si>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</si>
  <si>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</si>
  <si>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</si>
  <si>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</si>
  <si>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</si>
  <si>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Operating Expenses (net of allowance proceeds)</t>
  </si>
  <si>
    <t>ES Form 1.10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</si>
  <si>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</si>
  <si>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</si>
  <si>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</si>
  <si>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</si>
  <si>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</si>
  <si>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</si>
  <si>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</si>
  <si>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</si>
  <si>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</si>
  <si>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</si>
  <si>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</si>
  <si>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</si>
  <si>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</si>
  <si>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</si>
  <si>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</si>
  <si>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</si>
  <si>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</si>
  <si>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(7) + (9) + (10) - (4)</t>
  </si>
  <si>
    <t>Jurisdictional Allocation Ratio</t>
  </si>
  <si>
    <t xml:space="preserve">Adjustment to Retail E(m) for (Over)/Under-Collection </t>
  </si>
  <si>
    <t>Total for the 2-year period:</t>
  </si>
  <si>
    <t>Total for the current 6-month period:</t>
  </si>
  <si>
    <t>Case No.</t>
  </si>
  <si>
    <t>2015-00020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</si>
  <si>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</si>
  <si>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</si>
  <si>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</si>
  <si>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</si>
  <si>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</si>
  <si>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</si>
  <si>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</si>
  <si>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</si>
  <si>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</si>
  <si>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</si>
  <si>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</si>
  <si>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</si>
  <si>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</si>
  <si>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KENTUCKY UTILITIES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</si>
  <si>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</si>
  <si>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</si>
  <si>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</si>
  <si>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</si>
  <si>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</si>
  <si>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</si>
  <si>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</si>
  <si>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</si>
  <si>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</si>
  <si>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</si>
  <si>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</si>
  <si>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</si>
  <si>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</si>
  <si>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</si>
  <si>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</si>
  <si>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</si>
  <si>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</si>
  <si>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</si>
  <si>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</si>
  <si>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</si>
  <si>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</si>
  <si>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</si>
  <si>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</si>
  <si>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</si>
  <si>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</si>
  <si>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</si>
  <si>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</si>
  <si>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</si>
  <si>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</si>
  <si>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</si>
  <si>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</si>
  <si>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</si>
  <si>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</si>
  <si>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</si>
  <si>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</si>
  <si>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</si>
  <si>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</si>
  <si>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</si>
  <si>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</si>
  <si>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</si>
  <si>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</si>
  <si>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</si>
  <si>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</si>
  <si>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</si>
  <si>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Average daily balance per Settlement Agreement in Case No. 2011-00161.</t>
  </si>
  <si>
    <t>Total for 6 months</t>
  </si>
  <si>
    <t>Rahn</t>
  </si>
  <si>
    <t>2016 ECR Plans</t>
  </si>
  <si>
    <t>As of February 28, 2017</t>
  </si>
  <si>
    <t>02-28-17</t>
  </si>
  <si>
    <t>Rahn /Metts</t>
  </si>
  <si>
    <t>2016 ECR Plans     ES  Form 2.00</t>
  </si>
  <si>
    <t>2016 ECR Plans        (3) / 12</t>
  </si>
  <si>
    <t>Summary Schedule for Expense Months March 2015 through February 2017</t>
  </si>
  <si>
    <t>PRE-2016 ECR PLANS</t>
  </si>
  <si>
    <t>2016 ECR PLANS</t>
  </si>
  <si>
    <t>(5)-(4)</t>
  </si>
  <si>
    <t>(3) * (6)  / 12</t>
  </si>
  <si>
    <t>ES  Form 2.00</t>
  </si>
  <si>
    <t>(2) / 12</t>
  </si>
  <si>
    <t>Under-Recovery collected from customers for the period ending October 31, 2015 calculated in Case No. 2015-00411</t>
  </si>
  <si>
    <t>Over-Recovery returned to customers for the period ending October 31, 2016 calculated in Case No. 2016-00437</t>
  </si>
  <si>
    <t>Over-Recovery returned to customers for the period ending April 30, 2016 calculated in Case No. 2016-00214</t>
  </si>
  <si>
    <t>Case No. 2015-00020; 2015-00221; 2015-00411; 2016-00214</t>
  </si>
  <si>
    <t>2015-00221</t>
  </si>
  <si>
    <t>2015-00411</t>
  </si>
  <si>
    <t>Page 1 Col (8)     Pre-2016 ECR Plans; 2016 ECR Plans</t>
  </si>
  <si>
    <t>Less Amounts from previous 6-month reviews:</t>
  </si>
  <si>
    <t>Adjusted Electric Rate of Return on Common Equity - Pre-2016 ECR Plans</t>
  </si>
  <si>
    <t>Adjusted Electric Rate of Return on Common Equity - 2016 ECR Plans</t>
  </si>
  <si>
    <t>ANALYSIS OF THE EMBEDDED COST OF CAPITAL AT</t>
  </si>
  <si>
    <t>September 01, 2016 - February 28, 2017</t>
  </si>
  <si>
    <t>USING AVERAGE DAILY BALANCES AND INTEREST RATES FOR ECR FILINGS</t>
  </si>
  <si>
    <r>
      <t>LONG-TERM DEBT</t>
    </r>
    <r>
      <rPr>
        <b/>
        <sz val="16"/>
        <rFont val="Arial"/>
        <family val="2"/>
      </rPr>
      <t xml:space="preserve"> </t>
    </r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</si>
  <si>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</si>
  <si>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</si>
  <si>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</si>
  <si>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</si>
  <si>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</si>
  <si>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</si>
  <si>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</si>
  <si>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</si>
  <si>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</si>
  <si>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</si>
  <si>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</si>
  <si>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>Total</t>
  </si>
  <si>
    <t xml:space="preserve">  Cost  </t>
  </si>
  <si>
    <t xml:space="preserve">Pollution Control Bonds - </t>
  </si>
  <si>
    <t>Mercer Co. 2000 Series A</t>
  </si>
  <si>
    <t>*</t>
  </si>
  <si>
    <t>a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</si>
  <si>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</si>
  <si>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</si>
  <si>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</si>
  <si>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</si>
  <si>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</si>
  <si>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</si>
  <si>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</si>
  <si>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</si>
  <si>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</si>
  <si>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Carroll Co. 2016 Series A</t>
  </si>
  <si>
    <t>c</t>
  </si>
  <si>
    <t>Called Bonds</t>
  </si>
  <si>
    <t>Total Pollution Control Bond Debt</t>
  </si>
  <si>
    <t>First Mortgage Bonds -</t>
  </si>
  <si>
    <t>2010 due 2020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</si>
  <si>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</si>
  <si>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</si>
  <si>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</si>
  <si>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</si>
  <si>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</si>
  <si>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</si>
  <si>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</si>
  <si>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</si>
  <si>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</si>
  <si>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b</t>
  </si>
  <si>
    <t>Letter of Credit Facility</t>
  </si>
  <si>
    <t>Total First Mortgage Bond Debt</t>
  </si>
  <si>
    <t>Notes Payable to PPL</t>
  </si>
  <si>
    <t>Total Internal Debt</t>
  </si>
  <si>
    <t>SHORT-TERM DEBT</t>
  </si>
  <si>
    <t>Maturity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</si>
  <si>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</si>
  <si>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</si>
  <si>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</si>
  <si>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</si>
  <si>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</si>
  <si>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t>Premium</t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</si>
  <si>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</si>
  <si>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</si>
  <si>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</si>
  <si>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</si>
  <si>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</si>
  <si>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</si>
  <si>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</si>
  <si>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</si>
  <si>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  Composite rate at end of current month for Embedded Cost of Capital report and daily average rate for ECR filings.</t>
  </si>
  <si>
    <t>**  Debt discount shown on separate line.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</si>
  <si>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Includes setup fees for Credit Facility amended January 27, 2017 with a term ending January 27, 2022.</t>
    </r>
  </si>
  <si>
    <t>a - Remarketing fee = 10 basis points</t>
  </si>
  <si>
    <t>b - Revolving Credit Facility fee = 10 basis points</t>
  </si>
  <si>
    <t>c - Auction/Insurance Fee</t>
  </si>
  <si>
    <t>ROR True-up (Pre-2016 Plans)</t>
  </si>
  <si>
    <t>ROR True-up (2016 Plans)</t>
  </si>
  <si>
    <t>Due to Change in ROR in (Pre-2016 Plans)</t>
  </si>
  <si>
    <t>Due to Change in ROR in (2016 Plans)</t>
  </si>
  <si>
    <t>Page 3 of 3</t>
  </si>
  <si>
    <t>Page 1 of 3</t>
  </si>
  <si>
    <t>Page 2 of 3</t>
  </si>
  <si>
    <t>Page 1 of 5</t>
  </si>
  <si>
    <t>Page 2 of 5</t>
  </si>
  <si>
    <t>*Oct-16</t>
  </si>
  <si>
    <t>*Nov-16</t>
  </si>
  <si>
    <t>* October 2016 and November 2016 expense months reflect corrected over/under collections as filed and discussed in the filing letter for November 2016 expense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</si>
</sst>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"/>
    <numFmt numFmtId="175" formatCode="0.00000%"/>
    <numFmt numFmtId="176" formatCode="_(* #,##0_);_(* \(#,##0\);_(* &quot;0&quot;_);_(@_)"/>
    <numFmt numFmtId="177" formatCode="_(&quot;$&quot;* #,##0_);_(&quot;$&quot;* \(#,##0\);_(&quot;$&quot;* &quot;0&quot;_);_(@_)"/>
    <numFmt numFmtId="178" formatCode="#,##0.0000_);\(#,##0.0000\)"/>
    <numFmt numFmtId="179" formatCode="mm/dd/yy_)"/>
    <numFmt numFmtId="180" formatCode="0.0000%"/>
    <numFmt numFmtId="181" formatCode="0.000_)"/>
  </numFmts>
  <fonts count="8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9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9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16" fillId="6" borderId="18" applyNumberFormat="0" applyAlignment="0" applyProtection="0"/>
    <xf numFmtId="164" fontId="16" fillId="6" borderId="18" applyNumberFormat="0" applyAlignment="0" applyProtection="0"/>
    <xf numFmtId="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0" fontId="28" fillId="35" borderId="24" applyNumberFormat="0" applyAlignment="0" applyProtection="0"/>
    <xf numFmtId="169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9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9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9" fontId="29" fillId="45" borderId="25" applyNumberFormat="0" applyAlignment="0" applyProtection="0"/>
    <xf numFmtId="164" fontId="29" fillId="45" borderId="25" applyNumberFormat="0" applyAlignment="0" applyProtection="0"/>
    <xf numFmtId="169" fontId="29" fillId="45" borderId="25" applyNumberFormat="0" applyAlignment="0" applyProtection="0"/>
    <xf numFmtId="164" fontId="29" fillId="45" borderId="25" applyNumberFormat="0" applyAlignment="0" applyProtection="0"/>
    <xf numFmtId="0" fontId="29" fillId="45" borderId="25" applyNumberFormat="0" applyAlignment="0" applyProtection="0"/>
    <xf numFmtId="0" fontId="29" fillId="45" borderId="25" applyNumberFormat="0" applyAlignment="0" applyProtection="0"/>
    <xf numFmtId="0" fontId="29" fillId="45" borderId="25" applyNumberFormat="0" applyAlignment="0" applyProtection="0"/>
    <xf numFmtId="169" fontId="29" fillId="45" borderId="25" applyNumberFormat="0" applyAlignment="0" applyProtection="0"/>
    <xf numFmtId="169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9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18" fillId="7" borderId="21" applyNumberFormat="0" applyAlignment="0" applyProtection="0"/>
    <xf numFmtId="164" fontId="18" fillId="7" borderId="21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6" applyNumberFormat="0" applyFill="0" applyAlignment="0" applyProtection="0"/>
    <xf numFmtId="164" fontId="42" fillId="0" borderId="26" applyNumberFormat="0" applyFill="0" applyAlignment="0" applyProtection="0"/>
    <xf numFmtId="169" fontId="42" fillId="0" borderId="26" applyNumberFormat="0" applyFill="0" applyAlignment="0" applyProtection="0"/>
    <xf numFmtId="164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169" fontId="42" fillId="0" borderId="26" applyNumberFormat="0" applyFill="0" applyAlignment="0" applyProtection="0"/>
    <xf numFmtId="169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9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8" fillId="0" borderId="15" applyNumberFormat="0" applyFill="0" applyAlignment="0" applyProtection="0"/>
    <xf numFmtId="164" fontId="8" fillId="0" borderId="15" applyNumberFormat="0" applyFill="0" applyAlignment="0" applyProtection="0"/>
    <xf numFmtId="169" fontId="43" fillId="0" borderId="27" applyNumberFormat="0" applyFill="0" applyAlignment="0" applyProtection="0"/>
    <xf numFmtId="164" fontId="43" fillId="0" borderId="27" applyNumberFormat="0" applyFill="0" applyAlignment="0" applyProtection="0"/>
    <xf numFmtId="169" fontId="43" fillId="0" borderId="27" applyNumberFormat="0" applyFill="0" applyAlignment="0" applyProtection="0"/>
    <xf numFmtId="164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169" fontId="43" fillId="0" borderId="27" applyNumberFormat="0" applyFill="0" applyAlignment="0" applyProtection="0"/>
    <xf numFmtId="169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9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9" fillId="0" borderId="16" applyNumberFormat="0" applyFill="0" applyAlignment="0" applyProtection="0"/>
    <xf numFmtId="164" fontId="9" fillId="0" borderId="16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10" fillId="0" borderId="17" applyNumberFormat="0" applyFill="0" applyAlignment="0" applyProtection="0"/>
    <xf numFmtId="164" fontId="10" fillId="0" borderId="17" applyNumberFormat="0" applyFill="0" applyAlignment="0" applyProtection="0"/>
    <xf numFmtId="0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28" applyNumberFormat="0" applyFill="0" applyAlignment="0" applyProtection="0"/>
    <xf numFmtId="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28" applyNumberFormat="0" applyFill="0" applyAlignment="0" applyProtection="0"/>
    <xf numFmtId="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69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9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9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14" fillId="5" borderId="18" applyNumberFormat="0" applyAlignment="0" applyProtection="0"/>
    <xf numFmtId="164" fontId="14" fillId="5" borderId="18" applyNumberFormat="0" applyAlignment="0" applyProtection="0"/>
    <xf numFmtId="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46" fillId="36" borderId="24" applyNumberFormat="0" applyAlignment="0" applyProtection="0"/>
    <xf numFmtId="169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9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9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9" applyNumberFormat="0" applyFill="0" applyAlignment="0" applyProtection="0"/>
    <xf numFmtId="164" fontId="48" fillId="0" borderId="29" applyNumberFormat="0" applyFill="0" applyAlignment="0" applyProtection="0"/>
    <xf numFmtId="169" fontId="48" fillId="0" borderId="29" applyNumberFormat="0" applyFill="0" applyAlignment="0" applyProtection="0"/>
    <xf numFmtId="164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169" fontId="48" fillId="0" borderId="29" applyNumberFormat="0" applyFill="0" applyAlignment="0" applyProtection="0"/>
    <xf numFmtId="169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9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17" fillId="0" borderId="20" applyNumberFormat="0" applyFill="0" applyAlignment="0" applyProtection="0"/>
    <xf numFmtId="164" fontId="17" fillId="0" borderId="20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" fillId="8" borderId="22" applyNumberFormat="0" applyFont="0" applyAlignment="0" applyProtection="0"/>
    <xf numFmtId="164" fontId="2" fillId="8" borderId="22" applyNumberFormat="0" applyFont="0" applyAlignment="0" applyProtection="0"/>
    <xf numFmtId="164" fontId="23" fillId="50" borderId="30" applyNumberFormat="0" applyFont="0" applyAlignment="0" applyProtection="0"/>
    <xf numFmtId="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" fillId="8" borderId="22" applyNumberFormat="0" applyFont="0" applyAlignment="0" applyProtection="0"/>
    <xf numFmtId="164" fontId="2" fillId="8" borderId="22" applyNumberFormat="0" applyFont="0" applyAlignment="0" applyProtection="0"/>
    <xf numFmtId="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0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15" fillId="6" borderId="19" applyNumberFormat="0" applyAlignment="0" applyProtection="0"/>
    <xf numFmtId="164" fontId="15" fillId="6" borderId="19" applyNumberFormat="0" applyAlignment="0" applyProtection="0"/>
    <xf numFmtId="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0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2"/>
    <xf numFmtId="0" fontId="47" fillId="51" borderId="32"/>
    <xf numFmtId="0" fontId="47" fillId="51" borderId="32"/>
    <xf numFmtId="169" fontId="47" fillId="51" borderId="32"/>
    <xf numFmtId="0" fontId="47" fillId="51" borderId="32"/>
    <xf numFmtId="164" fontId="57" fillId="51" borderId="32"/>
    <xf numFmtId="164" fontId="57" fillId="51" borderId="32"/>
    <xf numFmtId="164" fontId="57" fillId="51" borderId="32"/>
    <xf numFmtId="0" fontId="47" fillId="51" borderId="32"/>
    <xf numFmtId="169" fontId="47" fillId="51" borderId="32"/>
    <xf numFmtId="169" fontId="47" fillId="51" borderId="32"/>
    <xf numFmtId="164" fontId="57" fillId="51" borderId="32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3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9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9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21" fillId="0" borderId="23" applyNumberFormat="0" applyFill="0" applyAlignment="0" applyProtection="0"/>
    <xf numFmtId="164" fontId="21" fillId="0" borderId="23" applyNumberFormat="0" applyFill="0" applyAlignment="0" applyProtection="0"/>
    <xf numFmtId="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47" fillId="0" borderId="34" applyNumberFormat="0" applyFill="0" applyAlignment="0" applyProtection="0"/>
    <xf numFmtId="169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9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9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324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Alignment="1">
      <alignment horizontal="center" wrapText="1"/>
    </xf>
    <xf numFmtId="0" fontId="4" fillId="0" borderId="0" xfId="5" quotePrefix="1" applyFont="1" applyFill="1" applyAlignment="1">
      <alignment horizontal="center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68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167" fontId="4" fillId="0" borderId="0" xfId="5" applyNumberFormat="1" applyFont="1" applyFill="1"/>
    <xf numFmtId="0" fontId="4" fillId="0" borderId="0" xfId="5" applyFont="1" applyFill="1" applyBorder="1" applyAlignment="1">
      <alignment horizontal="center" wrapText="1"/>
    </xf>
    <xf numFmtId="17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37" fontId="69" fillId="0" borderId="0" xfId="57515" applyFont="1" applyAlignment="1">
      <alignment horizontal="left"/>
    </xf>
    <xf numFmtId="37" fontId="69" fillId="0" borderId="0" xfId="57515" applyFont="1"/>
    <xf numFmtId="37" fontId="70" fillId="0" borderId="0" xfId="57515" applyFont="1"/>
    <xf numFmtId="37" fontId="70" fillId="0" borderId="0" xfId="57515" applyFont="1" applyBorder="1"/>
    <xf numFmtId="37" fontId="71" fillId="0" borderId="0" xfId="57515" applyFont="1" applyAlignment="1">
      <alignment horizontal="centerContinuous"/>
    </xf>
    <xf numFmtId="37" fontId="71" fillId="0" borderId="0" xfId="57515" applyFont="1" applyAlignment="1">
      <alignment horizontal="left"/>
    </xf>
    <xf numFmtId="37" fontId="71" fillId="0" borderId="0" xfId="57515" applyFont="1" applyAlignment="1">
      <alignment horizontal="center"/>
    </xf>
    <xf numFmtId="37" fontId="71" fillId="0" borderId="0" xfId="57515" applyFont="1" applyAlignment="1"/>
    <xf numFmtId="37" fontId="69" fillId="0" borderId="0" xfId="57515" applyFont="1" applyAlignment="1">
      <alignment horizontal="centerContinuous"/>
    </xf>
    <xf numFmtId="37" fontId="71" fillId="0" borderId="0" xfId="57515" quotePrefix="1" applyFont="1" applyAlignment="1">
      <alignment horizontal="centerContinuous"/>
    </xf>
    <xf numFmtId="37" fontId="71" fillId="0" borderId="0" xfId="57515" quotePrefix="1" applyFont="1" applyAlignment="1">
      <alignment horizontal="center"/>
    </xf>
    <xf numFmtId="43" fontId="69" fillId="0" borderId="0" xfId="11027" applyFont="1" applyFill="1" applyAlignment="1">
      <alignment horizontal="center"/>
    </xf>
    <xf numFmtId="43" fontId="72" fillId="0" borderId="0" xfId="11027" applyFont="1" applyAlignment="1">
      <alignment horizontal="center"/>
    </xf>
    <xf numFmtId="37" fontId="70" fillId="0" borderId="0" xfId="57515" applyFont="1" applyAlignment="1">
      <alignment horizontal="center"/>
    </xf>
    <xf numFmtId="37" fontId="70" fillId="0" borderId="0" xfId="57515" applyFont="1" applyBorder="1" applyAlignment="1">
      <alignment horizontal="center"/>
    </xf>
    <xf numFmtId="37" fontId="70" fillId="0" borderId="0" xfId="57515" quotePrefix="1" applyFont="1" applyAlignment="1">
      <alignment horizontal="center"/>
    </xf>
    <xf numFmtId="37" fontId="6" fillId="0" borderId="0" xfId="57515" quotePrefix="1" applyFont="1" applyFill="1" applyAlignment="1">
      <alignment horizontal="center"/>
    </xf>
    <xf numFmtId="37" fontId="6" fillId="0" borderId="0" xfId="57515" quotePrefix="1" applyFont="1" applyAlignment="1">
      <alignment horizontal="center"/>
    </xf>
    <xf numFmtId="37" fontId="70" fillId="0" borderId="1" xfId="57515" applyFont="1" applyBorder="1" applyAlignment="1">
      <alignment horizontal="center"/>
    </xf>
    <xf numFmtId="37" fontId="70" fillId="0" borderId="1" xfId="57515" applyFont="1" applyFill="1" applyBorder="1" applyAlignment="1">
      <alignment horizontal="center"/>
    </xf>
    <xf numFmtId="37" fontId="71" fillId="0" borderId="0" xfId="57515" applyFont="1"/>
    <xf numFmtId="37" fontId="70" fillId="0" borderId="0" xfId="57515" applyFont="1" applyFill="1" applyAlignment="1">
      <alignment horizontal="center"/>
    </xf>
    <xf numFmtId="37" fontId="70" fillId="0" borderId="0" xfId="57515" applyFont="1" applyFill="1"/>
    <xf numFmtId="37" fontId="70" fillId="0" borderId="0" xfId="57515" quotePrefix="1" applyFont="1" applyAlignment="1">
      <alignment horizontal="left"/>
    </xf>
    <xf numFmtId="166" fontId="70" fillId="0" borderId="0" xfId="12007" applyNumberFormat="1" applyFont="1"/>
    <xf numFmtId="37" fontId="70" fillId="0" borderId="0" xfId="57515" quotePrefix="1" applyFont="1"/>
    <xf numFmtId="10" fontId="70" fillId="0" borderId="0" xfId="45409" applyNumberFormat="1" applyFont="1"/>
    <xf numFmtId="166" fontId="70" fillId="0" borderId="0" xfId="12007" applyNumberFormat="1" applyFont="1" applyFill="1"/>
    <xf numFmtId="166" fontId="70" fillId="0" borderId="0" xfId="12007" applyNumberFormat="1" applyFont="1" applyFill="1" applyBorder="1"/>
    <xf numFmtId="37" fontId="70" fillId="0" borderId="0" xfId="57515" applyFont="1" applyFill="1" applyBorder="1"/>
    <xf numFmtId="10" fontId="70" fillId="0" borderId="0" xfId="45409" applyNumberFormat="1" applyFont="1" applyAlignment="1">
      <alignment horizontal="center"/>
    </xf>
    <xf numFmtId="165" fontId="70" fillId="0" borderId="0" xfId="11027" applyNumberFormat="1" applyFont="1" applyFill="1"/>
    <xf numFmtId="10" fontId="70" fillId="0" borderId="0" xfId="45409" applyNumberFormat="1" applyFont="1" applyFill="1"/>
    <xf numFmtId="10" fontId="70" fillId="0" borderId="0" xfId="57515" applyNumberFormat="1" applyFont="1"/>
    <xf numFmtId="166" fontId="70" fillId="0" borderId="35" xfId="12007" applyNumberFormat="1" applyFont="1" applyBorder="1"/>
    <xf numFmtId="168" fontId="70" fillId="0" borderId="35" xfId="45409" applyNumberFormat="1" applyFont="1" applyBorder="1"/>
    <xf numFmtId="166" fontId="70" fillId="0" borderId="35" xfId="12007" applyNumberFormat="1" applyFont="1" applyFill="1" applyBorder="1"/>
    <xf numFmtId="0" fontId="70" fillId="0" borderId="0" xfId="57515" applyNumberFormat="1" applyFont="1" applyAlignment="1">
      <alignment horizontal="center"/>
    </xf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166" fontId="70" fillId="0" borderId="0" xfId="12007" applyNumberFormat="1" applyFont="1" applyFill="1" applyBorder="1" applyAlignment="1">
      <alignment horizontal="center"/>
    </xf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0" fontId="70" fillId="0" borderId="0" xfId="45409" applyNumberFormat="1" applyFont="1" applyFill="1" applyAlignment="1">
      <alignment horizontal="center"/>
    </xf>
    <xf numFmtId="168" fontId="73" fillId="0" borderId="0" xfId="45409" applyNumberFormat="1" applyFont="1" applyBorder="1"/>
    <xf numFmtId="10" fontId="70" fillId="0" borderId="0" xfId="45409" applyNumberFormat="1" applyFont="1" applyBorder="1"/>
    <xf numFmtId="37" fontId="68" fillId="0" borderId="0" xfId="57515"/>
    <xf numFmtId="165" fontId="70" fillId="0" borderId="0" xfId="11027" applyNumberFormat="1" applyFont="1" applyFill="1" applyBorder="1" applyAlignment="1">
      <alignment horizontal="center"/>
    </xf>
    <xf numFmtId="37" fontId="68" fillId="51" borderId="0" xfId="57515" quotePrefix="1" applyFill="1" applyAlignment="1"/>
    <xf numFmtId="168" fontId="70" fillId="0" borderId="35" xfId="45409" applyNumberFormat="1" applyFont="1" applyFill="1" applyBorder="1"/>
    <xf numFmtId="10" fontId="70" fillId="0" borderId="35" xfId="45409" quotePrefix="1" applyNumberFormat="1" applyFont="1" applyFill="1" applyBorder="1" applyAlignment="1">
      <alignment horizontal="center"/>
    </xf>
    <xf numFmtId="10" fontId="70" fillId="0" borderId="36" xfId="45409" applyNumberFormat="1" applyFont="1" applyFill="1" applyBorder="1" applyAlignment="1">
      <alignment horizontal="center"/>
    </xf>
    <xf numFmtId="37" fontId="70" fillId="0" borderId="0" xfId="57516" applyFont="1" applyFill="1" applyBorder="1"/>
    <xf numFmtId="168" fontId="70" fillId="0" borderId="0" xfId="45409" applyNumberFormat="1" applyFont="1" applyBorder="1"/>
    <xf numFmtId="174" fontId="70" fillId="0" borderId="0" xfId="45409" applyNumberFormat="1" applyFont="1" applyBorder="1"/>
    <xf numFmtId="175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0" fontId="4" fillId="0" borderId="0" xfId="5" quotePrefix="1" applyFont="1" applyFill="1" applyAlignment="1">
      <alignment horizontal="center"/>
    </xf>
    <xf numFmtId="0" fontId="74" fillId="0" borderId="0" xfId="0" quotePrefix="1" applyFont="1" applyFill="1" applyBorder="1" applyAlignment="1">
      <alignment horizontal="right"/>
    </xf>
    <xf numFmtId="177" fontId="0" fillId="0" borderId="0" xfId="0" applyNumberFormat="1" applyFill="1" applyBorder="1"/>
    <xf numFmtId="176" fontId="0" fillId="0" borderId="0" xfId="0" applyNumberFormat="1" applyFill="1" applyBorder="1"/>
    <xf numFmtId="176" fontId="4" fillId="0" borderId="0" xfId="5" applyNumberFormat="1" applyFont="1" applyFill="1"/>
    <xf numFmtId="176" fontId="4" fillId="0" borderId="1" xfId="5" applyNumberFormat="1" applyFont="1" applyFill="1" applyBorder="1"/>
    <xf numFmtId="176" fontId="0" fillId="0" borderId="1" xfId="0" applyNumberFormat="1" applyFill="1" applyBorder="1"/>
    <xf numFmtId="0" fontId="5" fillId="0" borderId="0" xfId="0" applyFont="1" applyFill="1" applyAlignment="1">
      <alignment horizontal="right" vertical="top"/>
    </xf>
    <xf numFmtId="177" fontId="0" fillId="0" borderId="1" xfId="0" applyNumberFormat="1" applyFill="1" applyBorder="1"/>
    <xf numFmtId="0" fontId="74" fillId="0" borderId="0" xfId="0" applyFont="1" applyFill="1"/>
    <xf numFmtId="0" fontId="75" fillId="0" borderId="0" xfId="0" applyFont="1" applyFill="1"/>
    <xf numFmtId="0" fontId="74" fillId="0" borderId="0" xfId="0" quotePrefix="1" applyFont="1" applyFill="1" applyAlignment="1">
      <alignment horizontal="right"/>
    </xf>
    <xf numFmtId="165" fontId="75" fillId="0" borderId="0" xfId="1" applyNumberFormat="1" applyFont="1" applyFill="1"/>
    <xf numFmtId="0" fontId="74" fillId="0" borderId="0" xfId="0" applyFont="1" applyFill="1" applyAlignment="1">
      <alignment horizontal="right"/>
    </xf>
    <xf numFmtId="0" fontId="74" fillId="0" borderId="0" xfId="0" quotePrefix="1" applyFont="1" applyFill="1" applyAlignment="1">
      <alignment horizontal="left"/>
    </xf>
    <xf numFmtId="0" fontId="75" fillId="0" borderId="6" xfId="0" applyFont="1" applyFill="1" applyBorder="1" applyAlignment="1">
      <alignment horizontal="center" wrapText="1"/>
    </xf>
    <xf numFmtId="0" fontId="75" fillId="0" borderId="0" xfId="0" applyFont="1" applyFill="1" applyBorder="1" applyAlignment="1">
      <alignment horizontal="center" wrapText="1"/>
    </xf>
    <xf numFmtId="0" fontId="75" fillId="0" borderId="7" xfId="0" quotePrefix="1" applyFont="1" applyFill="1" applyBorder="1" applyAlignment="1">
      <alignment horizontal="center" wrapText="1"/>
    </xf>
    <xf numFmtId="0" fontId="75" fillId="0" borderId="0" xfId="0" applyFont="1" applyFill="1" applyAlignment="1">
      <alignment horizontal="center" wrapText="1"/>
    </xf>
    <xf numFmtId="0" fontId="75" fillId="0" borderId="7" xfId="0" applyFont="1" applyFill="1" applyBorder="1" applyAlignment="1">
      <alignment horizontal="center" wrapText="1"/>
    </xf>
    <xf numFmtId="165" fontId="75" fillId="0" borderId="0" xfId="1" applyNumberFormat="1" applyFont="1" applyFill="1" applyAlignment="1">
      <alignment horizontal="center" wrapText="1"/>
    </xf>
    <xf numFmtId="0" fontId="75" fillId="0" borderId="10" xfId="0" applyFont="1" applyFill="1" applyBorder="1"/>
    <xf numFmtId="0" fontId="75" fillId="0" borderId="1" xfId="0" applyFont="1" applyFill="1" applyBorder="1"/>
    <xf numFmtId="0" fontId="75" fillId="0" borderId="1" xfId="0" quotePrefix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9" xfId="0" quotePrefix="1" applyFont="1" applyFill="1" applyBorder="1" applyAlignment="1">
      <alignment horizontal="center"/>
    </xf>
    <xf numFmtId="0" fontId="76" fillId="0" borderId="1" xfId="0" quotePrefix="1" applyFont="1" applyFill="1" applyBorder="1" applyAlignment="1">
      <alignment horizontal="right" wrapText="1"/>
    </xf>
    <xf numFmtId="0" fontId="75" fillId="0" borderId="1" xfId="0" quotePrefix="1" applyFont="1" applyFill="1" applyBorder="1" applyAlignment="1">
      <alignment horizontal="center" wrapText="1"/>
    </xf>
    <xf numFmtId="0" fontId="75" fillId="0" borderId="1" xfId="0" applyFont="1" applyBorder="1"/>
    <xf numFmtId="0" fontId="75" fillId="0" borderId="9" xfId="0" quotePrefix="1" applyFont="1" applyFill="1" applyBorder="1" applyAlignment="1">
      <alignment horizontal="center" wrapText="1"/>
    </xf>
    <xf numFmtId="10" fontId="75" fillId="0" borderId="2" xfId="3" applyNumberFormat="1" applyFont="1" applyFill="1" applyBorder="1" applyAlignment="1">
      <alignment horizontal="center"/>
    </xf>
    <xf numFmtId="42" fontId="75" fillId="0" borderId="0" xfId="1" applyNumberFormat="1" applyFont="1" applyFill="1" applyBorder="1"/>
    <xf numFmtId="166" fontId="75" fillId="0" borderId="0" xfId="0" applyNumberFormat="1" applyFont="1" applyFill="1" applyBorder="1"/>
    <xf numFmtId="166" fontId="75" fillId="0" borderId="2" xfId="0" applyNumberFormat="1" applyFont="1" applyFill="1" applyBorder="1"/>
    <xf numFmtId="177" fontId="75" fillId="0" borderId="2" xfId="0" applyNumberFormat="1" applyFont="1" applyFill="1" applyBorder="1"/>
    <xf numFmtId="10" fontId="75" fillId="0" borderId="2" xfId="0" applyNumberFormat="1" applyFont="1" applyFill="1" applyBorder="1" applyAlignment="1">
      <alignment horizontal="center"/>
    </xf>
    <xf numFmtId="164" fontId="75" fillId="0" borderId="6" xfId="0" applyNumberFormat="1" applyFont="1" applyFill="1" applyBorder="1"/>
    <xf numFmtId="10" fontId="75" fillId="0" borderId="0" xfId="0" applyNumberFormat="1" applyFont="1" applyFill="1" applyBorder="1" applyAlignment="1">
      <alignment horizontal="center"/>
    </xf>
    <xf numFmtId="0" fontId="75" fillId="0" borderId="7" xfId="0" applyFont="1" applyFill="1" applyBorder="1"/>
    <xf numFmtId="165" fontId="75" fillId="0" borderId="0" xfId="1" applyNumberFormat="1" applyFont="1" applyFill="1" applyBorder="1"/>
    <xf numFmtId="177" fontId="75" fillId="0" borderId="0" xfId="1" applyNumberFormat="1" applyFont="1" applyFill="1" applyBorder="1"/>
    <xf numFmtId="10" fontId="75" fillId="0" borderId="0" xfId="3" applyNumberFormat="1" applyFont="1" applyFill="1" applyBorder="1" applyAlignment="1">
      <alignment horizontal="center"/>
    </xf>
    <xf numFmtId="164" fontId="75" fillId="0" borderId="0" xfId="0" applyNumberFormat="1" applyFont="1" applyFill="1" applyBorder="1"/>
    <xf numFmtId="42" fontId="75" fillId="0" borderId="7" xfId="0" applyNumberFormat="1" applyFont="1" applyFill="1" applyBorder="1"/>
    <xf numFmtId="37" fontId="75" fillId="0" borderId="0" xfId="0" applyNumberFormat="1" applyFont="1" applyFill="1"/>
    <xf numFmtId="164" fontId="75" fillId="0" borderId="6" xfId="0" applyNumberFormat="1" applyFont="1" applyFill="1" applyBorder="1" applyAlignment="1">
      <alignment horizontal="center"/>
    </xf>
    <xf numFmtId="164" fontId="75" fillId="0" borderId="0" xfId="0" applyNumberFormat="1" applyFont="1" applyFill="1" applyBorder="1" applyAlignment="1">
      <alignment horizontal="center"/>
    </xf>
    <xf numFmtId="176" fontId="75" fillId="0" borderId="0" xfId="1" applyNumberFormat="1" applyFont="1" applyFill="1" applyBorder="1"/>
    <xf numFmtId="165" fontId="75" fillId="0" borderId="0" xfId="0" applyNumberFormat="1" applyFont="1" applyFill="1" applyBorder="1"/>
    <xf numFmtId="41" fontId="75" fillId="0" borderId="7" xfId="0" applyNumberFormat="1" applyFont="1" applyFill="1" applyBorder="1"/>
    <xf numFmtId="165" fontId="75" fillId="0" borderId="0" xfId="0" applyNumberFormat="1" applyFont="1" applyFill="1"/>
    <xf numFmtId="176" fontId="75" fillId="0" borderId="1" xfId="1" applyNumberFormat="1" applyFont="1" applyFill="1" applyBorder="1"/>
    <xf numFmtId="37" fontId="75" fillId="0" borderId="0" xfId="1" applyNumberFormat="1" applyFont="1" applyFill="1" applyBorder="1"/>
    <xf numFmtId="177" fontId="75" fillId="0" borderId="0" xfId="2" applyNumberFormat="1" applyFont="1" applyFill="1" applyBorder="1"/>
    <xf numFmtId="0" fontId="75" fillId="0" borderId="0" xfId="0" applyFont="1" applyFill="1" applyBorder="1"/>
    <xf numFmtId="177" fontId="75" fillId="0" borderId="7" xfId="2" applyNumberFormat="1" applyFont="1" applyFill="1" applyBorder="1"/>
    <xf numFmtId="0" fontId="75" fillId="0" borderId="6" xfId="0" applyFont="1" applyFill="1" applyBorder="1"/>
    <xf numFmtId="166" fontId="75" fillId="0" borderId="2" xfId="2" applyNumberFormat="1" applyFont="1" applyFill="1" applyBorder="1"/>
    <xf numFmtId="166" fontId="75" fillId="0" borderId="11" xfId="2" applyNumberFormat="1" applyFont="1" applyFill="1" applyBorder="1"/>
    <xf numFmtId="177" fontId="75" fillId="0" borderId="0" xfId="0" applyNumberFormat="1" applyFont="1" applyFill="1" applyBorder="1"/>
    <xf numFmtId="39" fontId="75" fillId="0" borderId="0" xfId="0" applyNumberFormat="1" applyFont="1" applyFill="1"/>
    <xf numFmtId="166" fontId="75" fillId="0" borderId="0" xfId="2" applyNumberFormat="1" applyFont="1" applyFill="1" applyBorder="1"/>
    <xf numFmtId="41" fontId="75" fillId="0" borderId="9" xfId="0" applyNumberFormat="1" applyFont="1" applyFill="1" applyBorder="1"/>
    <xf numFmtId="0" fontId="75" fillId="0" borderId="0" xfId="1" applyNumberFormat="1" applyFont="1" applyFill="1"/>
    <xf numFmtId="166" fontId="75" fillId="0" borderId="7" xfId="2" applyNumberFormat="1" applyFont="1" applyFill="1" applyBorder="1"/>
    <xf numFmtId="0" fontId="75" fillId="0" borderId="12" xfId="0" applyFont="1" applyFill="1" applyBorder="1"/>
    <xf numFmtId="0" fontId="75" fillId="0" borderId="13" xfId="0" applyFont="1" applyFill="1" applyBorder="1"/>
    <xf numFmtId="0" fontId="75" fillId="0" borderId="14" xfId="0" applyFont="1" applyFill="1" applyBorder="1"/>
    <xf numFmtId="43" fontId="75" fillId="0" borderId="13" xfId="0" applyNumberFormat="1" applyFont="1" applyFill="1" applyBorder="1"/>
    <xf numFmtId="4" fontId="77" fillId="0" borderId="13" xfId="0" quotePrefix="1" applyNumberFormat="1" applyFont="1" applyFill="1" applyBorder="1"/>
    <xf numFmtId="0" fontId="75" fillId="0" borderId="0" xfId="0" quotePrefix="1" applyFont="1" applyFill="1" applyAlignment="1">
      <alignment horizontal="left"/>
    </xf>
    <xf numFmtId="0" fontId="75" fillId="0" borderId="6" xfId="0" applyFont="1" applyBorder="1"/>
    <xf numFmtId="0" fontId="75" fillId="0" borderId="0" xfId="0" applyNumberFormat="1" applyFont="1" applyFill="1" applyBorder="1"/>
    <xf numFmtId="166" fontId="75" fillId="0" borderId="7" xfId="0" applyNumberFormat="1" applyFont="1" applyFill="1" applyBorder="1"/>
    <xf numFmtId="0" fontId="75" fillId="0" borderId="0" xfId="0" applyNumberFormat="1" applyFont="1" applyFill="1" applyBorder="1" applyAlignment="1">
      <alignment horizontal="right"/>
    </xf>
    <xf numFmtId="165" fontId="75" fillId="0" borderId="7" xfId="1" applyNumberFormat="1" applyFont="1" applyFill="1" applyBorder="1"/>
    <xf numFmtId="165" fontId="75" fillId="0" borderId="1" xfId="1" applyNumberFormat="1" applyFont="1" applyFill="1" applyBorder="1"/>
    <xf numFmtId="0" fontId="75" fillId="0" borderId="1" xfId="0" applyFont="1" applyFill="1" applyBorder="1" applyAlignment="1">
      <alignment horizontal="center" wrapText="1"/>
    </xf>
    <xf numFmtId="177" fontId="75" fillId="0" borderId="1" xfId="2" applyNumberFormat="1" applyFont="1" applyFill="1" applyBorder="1"/>
    <xf numFmtId="177" fontId="75" fillId="0" borderId="9" xfId="2" applyNumberFormat="1" applyFont="1" applyFill="1" applyBorder="1"/>
    <xf numFmtId="177" fontId="75" fillId="0" borderId="1" xfId="0" applyNumberFormat="1" applyFont="1" applyFill="1" applyBorder="1"/>
    <xf numFmtId="166" fontId="75" fillId="0" borderId="11" xfId="0" applyNumberFormat="1" applyFont="1" applyFill="1" applyBorder="1"/>
    <xf numFmtId="166" fontId="75" fillId="0" borderId="9" xfId="0" applyNumberFormat="1" applyFont="1" applyFill="1" applyBorder="1"/>
    <xf numFmtId="167" fontId="75" fillId="0" borderId="3" xfId="0" quotePrefix="1" applyNumberFormat="1" applyFont="1" applyFill="1" applyBorder="1" applyAlignment="1">
      <alignment horizontal="center"/>
    </xf>
    <xf numFmtId="167" fontId="75" fillId="0" borderId="4" xfId="0" quotePrefix="1" applyNumberFormat="1" applyFont="1" applyFill="1" applyBorder="1" applyAlignment="1">
      <alignment horizontal="center"/>
    </xf>
    <xf numFmtId="167" fontId="75" fillId="0" borderId="5" xfId="0" quotePrefix="1" applyNumberFormat="1" applyFont="1" applyFill="1" applyBorder="1" applyAlignment="1">
      <alignment horizontal="center"/>
    </xf>
    <xf numFmtId="167" fontId="75" fillId="0" borderId="3" xfId="0" applyNumberFormat="1" applyFont="1" applyFill="1" applyBorder="1" applyAlignment="1">
      <alignment horizontal="center"/>
    </xf>
    <xf numFmtId="167" fontId="75" fillId="0" borderId="4" xfId="0" applyNumberFormat="1" applyFont="1" applyFill="1" applyBorder="1" applyAlignment="1">
      <alignment horizontal="center"/>
    </xf>
    <xf numFmtId="166" fontId="75" fillId="0" borderId="9" xfId="2" applyNumberFormat="1" applyFont="1" applyFill="1" applyBorder="1"/>
    <xf numFmtId="37" fontId="71" fillId="0" borderId="0" xfId="57515" applyFont="1" applyFill="1" applyAlignment="1">
      <alignment horizontal="centerContinuous"/>
    </xf>
    <xf numFmtId="0" fontId="78" fillId="0" borderId="0" xfId="24280" applyFont="1" applyFill="1" applyAlignment="1"/>
    <xf numFmtId="0" fontId="78" fillId="0" borderId="0" xfId="24280" applyFont="1" applyFill="1"/>
    <xf numFmtId="0" fontId="78" fillId="0" borderId="39" xfId="24280" applyFont="1" applyFill="1" applyBorder="1" applyAlignment="1">
      <alignment horizontal="left"/>
    </xf>
    <xf numFmtId="0" fontId="81" fillId="0" borderId="0" xfId="24280" applyFont="1" applyFill="1" applyBorder="1" applyAlignment="1">
      <alignment horizontal="center"/>
    </xf>
    <xf numFmtId="0" fontId="23" fillId="0" borderId="0" xfId="24280" applyFont="1" applyFill="1" applyBorder="1" applyAlignment="1">
      <alignment horizontal="right"/>
    </xf>
    <xf numFmtId="0" fontId="81" fillId="0" borderId="0" xfId="24280" applyFont="1" applyFill="1" applyBorder="1"/>
    <xf numFmtId="0" fontId="82" fillId="0" borderId="0" xfId="24280" applyFont="1" applyFill="1" applyBorder="1"/>
    <xf numFmtId="178" fontId="81" fillId="0" borderId="32" xfId="24280" applyNumberFormat="1" applyFont="1" applyFill="1" applyBorder="1"/>
    <xf numFmtId="0" fontId="81" fillId="0" borderId="0" xfId="24280" applyFont="1" applyFill="1"/>
    <xf numFmtId="43" fontId="81" fillId="0" borderId="39" xfId="11027" applyFont="1" applyFill="1" applyBorder="1"/>
    <xf numFmtId="0" fontId="81" fillId="0" borderId="0" xfId="24280" applyFont="1" applyFill="1" applyBorder="1" applyAlignment="1">
      <alignment horizontal="right"/>
    </xf>
    <xf numFmtId="178" fontId="81" fillId="0" borderId="32" xfId="24280" applyNumberFormat="1" applyFont="1" applyFill="1" applyBorder="1" applyAlignment="1">
      <alignment horizontal="center"/>
    </xf>
    <xf numFmtId="0" fontId="81" fillId="0" borderId="39" xfId="24280" applyFont="1" applyFill="1" applyBorder="1"/>
    <xf numFmtId="0" fontId="83" fillId="0" borderId="0" xfId="24280" applyFont="1" applyFill="1" applyBorder="1" applyAlignment="1">
      <alignment horizontal="center"/>
    </xf>
    <xf numFmtId="0" fontId="81" fillId="0" borderId="1" xfId="24280" applyFont="1" applyFill="1" applyBorder="1" applyAlignment="1">
      <alignment horizontal="center"/>
    </xf>
    <xf numFmtId="0" fontId="81" fillId="0" borderId="1" xfId="24280" applyFont="1" applyFill="1" applyBorder="1" applyAlignment="1">
      <alignment horizontal="center" wrapText="1"/>
    </xf>
    <xf numFmtId="0" fontId="81" fillId="0" borderId="1" xfId="24280" applyFont="1" applyFill="1" applyBorder="1" applyAlignment="1">
      <alignment horizontal="right" wrapText="1"/>
    </xf>
    <xf numFmtId="178" fontId="81" fillId="0" borderId="40" xfId="24280" applyNumberFormat="1" applyFont="1" applyFill="1" applyBorder="1" applyAlignment="1">
      <alignment horizontal="center"/>
    </xf>
    <xf numFmtId="0" fontId="78" fillId="0" borderId="39" xfId="24280" applyFont="1" applyFill="1" applyBorder="1"/>
    <xf numFmtId="179" fontId="81" fillId="0" borderId="0" xfId="24280" applyNumberFormat="1" applyFont="1" applyFill="1" applyBorder="1" applyAlignment="1">
      <alignment horizontal="center"/>
    </xf>
    <xf numFmtId="180" fontId="81" fillId="0" borderId="0" xfId="24280" applyNumberFormat="1" applyFont="1" applyFill="1" applyBorder="1"/>
    <xf numFmtId="37" fontId="81" fillId="0" borderId="0" xfId="24280" applyNumberFormat="1" applyFont="1" applyFill="1" applyBorder="1"/>
    <xf numFmtId="165" fontId="81" fillId="0" borderId="0" xfId="24280" applyNumberFormat="1" applyFont="1" applyFill="1" applyBorder="1"/>
    <xf numFmtId="165" fontId="81" fillId="0" borderId="0" xfId="24280" applyNumberFormat="1" applyFont="1" applyFill="1" applyBorder="1" applyAlignment="1">
      <alignment horizontal="right"/>
    </xf>
    <xf numFmtId="37" fontId="81" fillId="0" borderId="0" xfId="24280" applyNumberFormat="1" applyFont="1" applyFill="1" applyBorder="1" applyAlignment="1">
      <alignment horizontal="right"/>
    </xf>
    <xf numFmtId="168" fontId="81" fillId="0" borderId="0" xfId="45409" applyNumberFormat="1" applyFont="1" applyFill="1" applyBorder="1"/>
    <xf numFmtId="0" fontId="81" fillId="0" borderId="0" xfId="24280" applyFont="1" applyFill="1" applyBorder="1" applyAlignment="1">
      <alignment horizontal="left"/>
    </xf>
    <xf numFmtId="42" fontId="81" fillId="0" borderId="0" xfId="24280" applyNumberFormat="1" applyFont="1" applyFill="1" applyBorder="1"/>
    <xf numFmtId="167" fontId="81" fillId="0" borderId="0" xfId="24280" applyNumberFormat="1" applyFont="1" applyFill="1" applyBorder="1" applyAlignment="1">
      <alignment horizontal="right"/>
    </xf>
    <xf numFmtId="41" fontId="81" fillId="0" borderId="0" xfId="24280" applyNumberFormat="1" applyFont="1" applyFill="1" applyBorder="1"/>
    <xf numFmtId="0" fontId="81" fillId="0" borderId="0" xfId="24280" applyFont="1" applyFill="1" applyBorder="1" applyAlignment="1"/>
    <xf numFmtId="0" fontId="81" fillId="0" borderId="0" xfId="24280" applyNumberFormat="1" applyFont="1" applyFill="1" applyBorder="1" applyAlignment="1">
      <alignment horizontal="left"/>
    </xf>
    <xf numFmtId="168" fontId="81" fillId="0" borderId="32" xfId="45409" applyNumberFormat="1" applyFont="1" applyFill="1" applyBorder="1"/>
    <xf numFmtId="168" fontId="81" fillId="0" borderId="0" xfId="24280" applyNumberFormat="1" applyFont="1" applyFill="1" applyBorder="1"/>
    <xf numFmtId="43" fontId="81" fillId="0" borderId="0" xfId="11027" applyFont="1" applyFill="1" applyBorder="1" applyAlignment="1">
      <alignment horizontal="center"/>
    </xf>
    <xf numFmtId="181" fontId="81" fillId="0" borderId="0" xfId="24280" applyNumberFormat="1" applyFont="1" applyFill="1" applyBorder="1"/>
    <xf numFmtId="42" fontId="81" fillId="0" borderId="41" xfId="24280" applyNumberFormat="1" applyFont="1" applyFill="1" applyBorder="1"/>
    <xf numFmtId="42" fontId="81" fillId="0" borderId="0" xfId="24280" applyNumberFormat="1" applyFont="1" applyFill="1" applyBorder="1" applyAlignment="1">
      <alignment horizontal="right"/>
    </xf>
    <xf numFmtId="42" fontId="81" fillId="0" borderId="41" xfId="24280" applyNumberFormat="1" applyFont="1" applyFill="1" applyBorder="1" applyAlignment="1">
      <alignment horizontal="right"/>
    </xf>
    <xf numFmtId="168" fontId="78" fillId="0" borderId="42" xfId="45409" applyNumberFormat="1" applyFont="1" applyFill="1" applyBorder="1"/>
    <xf numFmtId="2" fontId="81" fillId="0" borderId="0" xfId="24280" applyNumberFormat="1" applyFont="1" applyFill="1"/>
    <xf numFmtId="41" fontId="81" fillId="0" borderId="0" xfId="24280" applyNumberFormat="1" applyFont="1" applyFill="1" applyBorder="1" applyAlignment="1">
      <alignment horizontal="right"/>
    </xf>
    <xf numFmtId="0" fontId="81" fillId="0" borderId="0" xfId="24280" applyFont="1" applyFill="1" applyAlignment="1">
      <alignment horizontal="right"/>
    </xf>
    <xf numFmtId="0" fontId="82" fillId="0" borderId="0" xfId="24280" applyFont="1" applyFill="1"/>
    <xf numFmtId="175" fontId="81" fillId="0" borderId="0" xfId="24280" applyNumberFormat="1" applyFont="1" applyFill="1" applyBorder="1"/>
    <xf numFmtId="41" fontId="81" fillId="0" borderId="0" xfId="24280" applyNumberFormat="1" applyFont="1" applyFill="1" applyBorder="1" applyAlignment="1">
      <alignment horizontal="center"/>
    </xf>
    <xf numFmtId="0" fontId="78" fillId="0" borderId="0" xfId="24280" applyFont="1" applyFill="1" applyBorder="1" applyAlignment="1">
      <alignment horizontal="right"/>
    </xf>
    <xf numFmtId="0" fontId="81" fillId="0" borderId="39" xfId="24280" applyFont="1" applyFill="1" applyBorder="1" applyAlignment="1">
      <alignment horizontal="left"/>
    </xf>
    <xf numFmtId="179" fontId="81" fillId="0" borderId="0" xfId="24280" applyNumberFormat="1" applyFont="1" applyFill="1" applyBorder="1" applyAlignment="1" applyProtection="1">
      <alignment horizontal="center"/>
    </xf>
    <xf numFmtId="43" fontId="81" fillId="0" borderId="0" xfId="11027" applyFont="1" applyFill="1"/>
    <xf numFmtId="165" fontId="81" fillId="0" borderId="0" xfId="24280" applyNumberFormat="1" applyFont="1" applyFill="1"/>
    <xf numFmtId="43" fontId="81" fillId="0" borderId="0" xfId="24280" applyNumberFormat="1" applyFont="1" applyFill="1" applyBorder="1" applyAlignment="1">
      <alignment horizontal="right"/>
    </xf>
    <xf numFmtId="43" fontId="81" fillId="0" borderId="0" xfId="24280" applyNumberFormat="1" applyFont="1" applyFill="1" applyBorder="1"/>
    <xf numFmtId="42" fontId="81" fillId="0" borderId="36" xfId="24280" applyNumberFormat="1" applyFont="1" applyFill="1" applyBorder="1"/>
    <xf numFmtId="42" fontId="81" fillId="0" borderId="36" xfId="24280" applyNumberFormat="1" applyFont="1" applyFill="1" applyBorder="1" applyAlignment="1">
      <alignment horizontal="right"/>
    </xf>
    <xf numFmtId="4" fontId="81" fillId="0" borderId="0" xfId="24280" applyNumberFormat="1" applyFont="1" applyFill="1"/>
    <xf numFmtId="0" fontId="81" fillId="0" borderId="43" xfId="24280" applyFont="1" applyFill="1" applyBorder="1"/>
    <xf numFmtId="0" fontId="81" fillId="0" borderId="1" xfId="24280" applyFont="1" applyFill="1" applyBorder="1" applyAlignment="1">
      <alignment horizontal="right"/>
    </xf>
    <xf numFmtId="181" fontId="81" fillId="0" borderId="1" xfId="24280" applyNumberFormat="1" applyFont="1" applyFill="1" applyBorder="1"/>
    <xf numFmtId="37" fontId="81" fillId="0" borderId="1" xfId="24280" applyNumberFormat="1" applyFont="1" applyFill="1" applyBorder="1"/>
    <xf numFmtId="0" fontId="81" fillId="0" borderId="1" xfId="24280" applyFont="1" applyFill="1" applyBorder="1"/>
    <xf numFmtId="37" fontId="81" fillId="0" borderId="1" xfId="24280" applyNumberFormat="1" applyFont="1" applyFill="1" applyBorder="1" applyAlignment="1">
      <alignment horizontal="right"/>
    </xf>
    <xf numFmtId="178" fontId="81" fillId="0" borderId="40" xfId="24280" applyNumberFormat="1" applyFont="1" applyFill="1" applyBorder="1"/>
    <xf numFmtId="0" fontId="81" fillId="0" borderId="0" xfId="24280" applyFont="1" applyFill="1" applyAlignment="1">
      <alignment horizontal="center"/>
    </xf>
    <xf numFmtId="0" fontId="23" fillId="0" borderId="0" xfId="24280" applyFont="1" applyFill="1" applyAlignment="1">
      <alignment horizontal="right"/>
    </xf>
    <xf numFmtId="181" fontId="81" fillId="0" borderId="0" xfId="24280" applyNumberFormat="1" applyFont="1" applyFill="1"/>
    <xf numFmtId="37" fontId="81" fillId="0" borderId="0" xfId="24280" applyNumberFormat="1" applyFont="1" applyFill="1"/>
    <xf numFmtId="0" fontId="37" fillId="0" borderId="0" xfId="24280" applyFont="1" applyFill="1" applyAlignment="1">
      <alignment horizontal="right"/>
    </xf>
    <xf numFmtId="0" fontId="82" fillId="0" borderId="2" xfId="24280" applyFont="1" applyFill="1" applyBorder="1" applyAlignment="1">
      <alignment horizontal="center"/>
    </xf>
    <xf numFmtId="37" fontId="81" fillId="0" borderId="2" xfId="24280" applyNumberFormat="1" applyFont="1" applyFill="1" applyBorder="1"/>
    <xf numFmtId="37" fontId="23" fillId="0" borderId="2" xfId="24280" applyNumberFormat="1" applyFont="1" applyFill="1" applyBorder="1" applyAlignment="1">
      <alignment horizontal="right"/>
    </xf>
    <xf numFmtId="178" fontId="81" fillId="0" borderId="0" xfId="24280" applyNumberFormat="1" applyFont="1" applyFill="1"/>
    <xf numFmtId="0" fontId="82" fillId="0" borderId="0" xfId="24280" applyFont="1" applyFill="1" applyBorder="1" applyAlignment="1">
      <alignment horizontal="center"/>
    </xf>
    <xf numFmtId="37" fontId="23" fillId="0" borderId="0" xfId="24280" applyNumberFormat="1" applyFont="1" applyFill="1" applyAlignment="1">
      <alignment horizontal="right"/>
    </xf>
    <xf numFmtId="0" fontId="81" fillId="0" borderId="0" xfId="24280" applyFont="1" applyFill="1" applyAlignment="1"/>
    <xf numFmtId="0" fontId="83" fillId="0" borderId="0" xfId="24280" applyFont="1" applyFill="1" applyBorder="1" applyAlignment="1">
      <alignment horizontal="right"/>
    </xf>
    <xf numFmtId="178" fontId="83" fillId="0" borderId="32" xfId="24280" applyNumberFormat="1" applyFont="1" applyFill="1" applyBorder="1" applyAlignment="1">
      <alignment horizontal="center"/>
    </xf>
    <xf numFmtId="5" fontId="81" fillId="0" borderId="0" xfId="24280" applyNumberFormat="1" applyFont="1" applyFill="1" applyBorder="1"/>
    <xf numFmtId="42" fontId="81" fillId="0" borderId="0" xfId="24280" applyNumberFormat="1" applyFont="1" applyFill="1" applyBorder="1" applyAlignment="1">
      <alignment horizontal="center"/>
    </xf>
    <xf numFmtId="166" fontId="81" fillId="0" borderId="1" xfId="24280" applyNumberFormat="1" applyFont="1" applyFill="1" applyBorder="1"/>
    <xf numFmtId="41" fontId="81" fillId="0" borderId="1" xfId="24280" applyNumberFormat="1" applyFont="1" applyFill="1" applyBorder="1"/>
    <xf numFmtId="41" fontId="81" fillId="0" borderId="1" xfId="24280" applyNumberFormat="1" applyFont="1" applyFill="1" applyBorder="1" applyAlignment="1">
      <alignment horizontal="center"/>
    </xf>
    <xf numFmtId="41" fontId="81" fillId="0" borderId="1" xfId="24280" applyNumberFormat="1" applyFont="1" applyFill="1" applyBorder="1" applyAlignment="1">
      <alignment horizontal="right"/>
    </xf>
    <xf numFmtId="168" fontId="81" fillId="0" borderId="40" xfId="45409" applyNumberFormat="1" applyFont="1" applyFill="1" applyBorder="1"/>
    <xf numFmtId="5" fontId="81" fillId="0" borderId="36" xfId="24280" applyNumberFormat="1" applyFont="1" applyFill="1" applyBorder="1"/>
    <xf numFmtId="42" fontId="81" fillId="0" borderId="36" xfId="24280" applyNumberFormat="1" applyFont="1" applyFill="1" applyBorder="1" applyAlignment="1">
      <alignment horizontal="center"/>
    </xf>
    <xf numFmtId="168" fontId="78" fillId="0" borderId="44" xfId="45409" applyNumberFormat="1" applyFont="1" applyFill="1" applyBorder="1"/>
    <xf numFmtId="165" fontId="81" fillId="0" borderId="1" xfId="24280" applyNumberFormat="1" applyFont="1" applyFill="1" applyBorder="1"/>
    <xf numFmtId="165" fontId="81" fillId="0" borderId="1" xfId="24280" applyNumberFormat="1" applyFont="1" applyFill="1" applyBorder="1" applyAlignment="1">
      <alignment horizontal="right"/>
    </xf>
    <xf numFmtId="168" fontId="81" fillId="0" borderId="0" xfId="45409" applyNumberFormat="1" applyFont="1" applyFill="1"/>
    <xf numFmtId="42" fontId="81" fillId="0" borderId="35" xfId="24280" applyNumberFormat="1" applyFont="1" applyFill="1" applyBorder="1"/>
    <xf numFmtId="42" fontId="81" fillId="0" borderId="0" xfId="24280" applyNumberFormat="1" applyFont="1" applyFill="1"/>
    <xf numFmtId="42" fontId="81" fillId="0" borderId="0" xfId="24280" applyNumberFormat="1" applyFont="1" applyFill="1" applyAlignment="1">
      <alignment horizontal="right"/>
    </xf>
    <xf numFmtId="42" fontId="81" fillId="0" borderId="35" xfId="24280" applyNumberFormat="1" applyFont="1" applyFill="1" applyBorder="1" applyAlignment="1">
      <alignment horizontal="right"/>
    </xf>
    <xf numFmtId="180" fontId="78" fillId="0" borderId="0" xfId="45409" applyNumberFormat="1" applyFont="1" applyFill="1" applyAlignment="1">
      <alignment horizontal="center"/>
    </xf>
    <xf numFmtId="37" fontId="81" fillId="0" borderId="0" xfId="24280" applyNumberFormat="1" applyFont="1" applyFill="1" applyAlignment="1">
      <alignment horizontal="center"/>
    </xf>
    <xf numFmtId="37" fontId="81" fillId="0" borderId="0" xfId="24280" applyNumberFormat="1" applyFont="1" applyFill="1" applyAlignment="1">
      <alignment horizontal="right"/>
    </xf>
    <xf numFmtId="0" fontId="81" fillId="0" borderId="0" xfId="24280" applyFont="1" applyFill="1" applyAlignment="1">
      <alignment horizontal="left"/>
    </xf>
    <xf numFmtId="168" fontId="81" fillId="0" borderId="0" xfId="24280" applyNumberFormat="1" applyFont="1" applyFill="1"/>
    <xf numFmtId="164" fontId="75" fillId="0" borderId="6" xfId="0" applyNumberFormat="1" applyFont="1" applyFill="1" applyBorder="1" applyAlignment="1">
      <alignment horizontal="right"/>
    </xf>
    <xf numFmtId="164" fontId="75" fillId="0" borderId="0" xfId="0" applyNumberFormat="1" applyFont="1" applyFill="1" applyBorder="1" applyAlignment="1">
      <alignment horizontal="right"/>
    </xf>
    <xf numFmtId="164" fontId="75" fillId="0" borderId="8" xfId="0" applyNumberFormat="1" applyFont="1" applyFill="1" applyBorder="1" applyAlignment="1">
      <alignment horizontal="right"/>
    </xf>
    <xf numFmtId="164" fontId="75" fillId="0" borderId="2" xfId="0" applyNumberFormat="1" applyFont="1" applyFill="1" applyBorder="1" applyAlignment="1">
      <alignment horizontal="right"/>
    </xf>
    <xf numFmtId="0" fontId="75" fillId="0" borderId="6" xfId="0" applyFont="1" applyFill="1" applyBorder="1" applyAlignment="1">
      <alignment horizontal="right"/>
    </xf>
    <xf numFmtId="0" fontId="75" fillId="0" borderId="0" xfId="0" applyFont="1" applyFill="1" applyBorder="1" applyAlignment="1">
      <alignment horizontal="right"/>
    </xf>
    <xf numFmtId="0" fontId="75" fillId="0" borderId="0" xfId="0" quotePrefix="1" applyFont="1" applyFill="1" applyBorder="1" applyAlignment="1">
      <alignment horizontal="center" wrapText="1"/>
    </xf>
    <xf numFmtId="0" fontId="75" fillId="0" borderId="6" xfId="0" quotePrefix="1" applyFont="1" applyFill="1" applyBorder="1" applyAlignment="1">
      <alignment horizontal="left"/>
    </xf>
    <xf numFmtId="165" fontId="75" fillId="0" borderId="9" xfId="1" applyNumberFormat="1" applyFont="1" applyFill="1" applyBorder="1"/>
    <xf numFmtId="0" fontId="75" fillId="0" borderId="7" xfId="0" applyNumberFormat="1" applyFont="1" applyFill="1" applyBorder="1"/>
    <xf numFmtId="164" fontId="4" fillId="0" borderId="0" xfId="5" applyNumberFormat="1" applyFont="1" applyFill="1" applyBorder="1" applyAlignment="1">
      <alignment horizontal="right"/>
    </xf>
    <xf numFmtId="17" fontId="4" fillId="0" borderId="0" xfId="5" applyNumberFormat="1" applyFont="1" applyFill="1" applyBorder="1" applyAlignment="1" applyProtection="1">
      <alignment horizontal="right"/>
      <protection locked="0"/>
    </xf>
    <xf numFmtId="17" fontId="4" fillId="0" borderId="1" xfId="5" applyNumberFormat="1" applyFont="1" applyFill="1" applyBorder="1" applyAlignment="1" applyProtection="1">
      <alignment horizontal="right"/>
      <protection locked="0"/>
    </xf>
    <xf numFmtId="177" fontId="4" fillId="0" borderId="0" xfId="5" applyNumberFormat="1" applyFont="1" applyFill="1"/>
    <xf numFmtId="177" fontId="4" fillId="0" borderId="1" xfId="5" applyNumberFormat="1" applyFont="1" applyFill="1" applyBorder="1"/>
    <xf numFmtId="0" fontId="4" fillId="0" borderId="3" xfId="5" applyFont="1" applyFill="1" applyBorder="1"/>
    <xf numFmtId="0" fontId="4" fillId="0" borderId="4" xfId="5" applyFont="1" applyFill="1" applyBorder="1"/>
    <xf numFmtId="165" fontId="4" fillId="0" borderId="5" xfId="5" applyNumberFormat="1" applyFont="1" applyFill="1" applyBorder="1"/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177" fontId="0" fillId="0" borderId="7" xfId="0" applyNumberFormat="1" applyFill="1" applyBorder="1"/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2" xfId="5" applyFont="1" applyFill="1" applyBorder="1"/>
    <xf numFmtId="0" fontId="4" fillId="0" borderId="13" xfId="5" applyFont="1" applyFill="1" applyBorder="1"/>
    <xf numFmtId="165" fontId="4" fillId="0" borderId="13" xfId="5" applyNumberFormat="1" applyFont="1" applyFill="1" applyBorder="1" applyAlignment="1">
      <alignment horizontal="right"/>
    </xf>
    <xf numFmtId="0" fontId="4" fillId="0" borderId="14" xfId="5" applyFont="1" applyFill="1" applyBorder="1"/>
    <xf numFmtId="0" fontId="75" fillId="0" borderId="13" xfId="0" applyNumberFormat="1" applyFont="1" applyFill="1" applyBorder="1"/>
    <xf numFmtId="0" fontId="75" fillId="0" borderId="14" xfId="0" applyNumberFormat="1" applyFont="1" applyFill="1" applyBorder="1"/>
    <xf numFmtId="0" fontId="5" fillId="0" borderId="6" xfId="5" quotePrefix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0" fontId="79" fillId="0" borderId="37" xfId="24280" applyFont="1" applyFill="1" applyBorder="1" applyAlignment="1">
      <alignment horizontal="center"/>
    </xf>
    <xf numFmtId="0" fontId="79" fillId="0" borderId="2" xfId="24280" applyFont="1" applyFill="1" applyBorder="1" applyAlignment="1">
      <alignment horizontal="center"/>
    </xf>
    <xf numFmtId="0" fontId="79" fillId="0" borderId="38" xfId="24280" applyFont="1" applyFill="1" applyBorder="1" applyAlignment="1">
      <alignment horizontal="center"/>
    </xf>
    <xf numFmtId="0" fontId="81" fillId="0" borderId="1" xfId="24280" applyFont="1" applyFill="1" applyBorder="1" applyAlignment="1">
      <alignment horizontal="center"/>
    </xf>
    <xf numFmtId="0" fontId="81" fillId="0" borderId="0" xfId="24280" applyFont="1" applyFill="1" applyAlignment="1">
      <alignment horizontal="left" wrapText="1"/>
    </xf>
    <xf numFmtId="0" fontId="78" fillId="0" borderId="0" xfId="24280" applyFont="1" applyFill="1" applyAlignment="1">
      <alignment horizontal="center"/>
    </xf>
    <xf numFmtId="0" fontId="78" fillId="0" borderId="1" xfId="24280" applyFont="1" applyFill="1" applyBorder="1" applyAlignment="1">
      <alignment horizontal="center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F81"/>
  <sheetViews>
    <sheetView tabSelected="1" zoomScaleNormal="100" workbookViewId="0"/>
  </sheetViews>
  <sheetFormatPr defaultRowHeight="12.75" x14ac:dyDescent="0.2"/>
  <cols>
    <col min="1" max="3" width="16.83203125" style="103" customWidth="1"/>
    <col min="4" max="4" width="17.83203125" style="103" bestFit="1" customWidth="1"/>
    <col min="5" max="6" width="17.33203125" style="103" customWidth="1"/>
    <col min="7" max="7" width="19.5" style="103" customWidth="1"/>
    <col min="8" max="8" width="21.83203125" style="103" customWidth="1"/>
    <col min="9" max="9" width="19.5" style="103" customWidth="1"/>
    <col min="10" max="10" width="8.6640625" style="103" customWidth="1"/>
    <col min="11" max="13" width="16.83203125" style="103" customWidth="1"/>
    <col min="14" max="14" width="17.1640625" style="103" customWidth="1"/>
    <col min="15" max="15" width="16.5" style="103" customWidth="1"/>
    <col min="16" max="19" width="16.83203125" style="103" customWidth="1"/>
    <col min="20" max="20" width="10.6640625" style="103" customWidth="1"/>
    <col min="21" max="21" width="16.83203125" style="103" customWidth="1"/>
    <col min="22" max="22" width="17" style="103" customWidth="1"/>
    <col min="23" max="23" width="16.83203125" style="103" customWidth="1"/>
    <col min="24" max="24" width="15.83203125" style="103" customWidth="1"/>
    <col min="25" max="25" width="19.6640625" style="103" customWidth="1"/>
    <col min="26" max="26" width="16.6640625" style="103" customWidth="1"/>
    <col min="27" max="27" width="21.83203125" style="103" customWidth="1"/>
    <col min="28" max="28" width="16.83203125" style="103" customWidth="1"/>
    <col min="29" max="29" width="10.1640625" style="103" customWidth="1"/>
    <col min="30" max="30" width="15.83203125" style="103" customWidth="1"/>
    <col min="31" max="31" width="16.83203125" style="103" customWidth="1"/>
    <col min="32" max="32" width="18.1640625" style="103" customWidth="1"/>
    <col min="33" max="33" width="17.33203125" style="103" customWidth="1"/>
    <col min="34" max="34" width="13.1640625" style="103" customWidth="1"/>
    <col min="35" max="35" width="13.33203125" style="103" customWidth="1"/>
    <col min="36" max="37" width="16.83203125" style="103" customWidth="1"/>
    <col min="38" max="38" width="16.6640625" style="103" customWidth="1"/>
    <col min="39" max="41" width="16.83203125" style="103" customWidth="1"/>
    <col min="42" max="42" width="24" style="103" customWidth="1"/>
    <col min="43" max="43" width="36.1640625" style="103" customWidth="1"/>
    <col min="44" max="44" width="10.83203125" style="103" customWidth="1"/>
    <col min="45" max="45" width="14.6640625" style="103" customWidth="1"/>
    <col min="46" max="46" width="16" style="103" customWidth="1"/>
    <col min="47" max="47" width="17.6640625" style="103" customWidth="1"/>
    <col min="48" max="49" width="13" style="103" customWidth="1"/>
    <col min="50" max="50" width="17" style="103" customWidth="1"/>
    <col min="51" max="51" width="10.33203125" style="103" customWidth="1"/>
    <col min="52" max="52" width="17.5" style="103" bestFit="1" customWidth="1"/>
    <col min="53" max="53" width="15.83203125" style="103" customWidth="1"/>
    <col min="54" max="54" width="19.6640625" style="103" customWidth="1"/>
    <col min="55" max="55" width="4.5" style="103" customWidth="1"/>
    <col min="56" max="56" width="20.33203125" style="105" customWidth="1"/>
    <col min="57" max="57" width="16.5" style="103" bestFit="1" customWidth="1"/>
    <col min="58" max="59" width="16.83203125" style="103" bestFit="1" customWidth="1"/>
    <col min="60" max="60" width="13.1640625" style="103" bestFit="1" customWidth="1"/>
    <col min="61" max="61" width="16" style="103" bestFit="1" customWidth="1"/>
    <col min="62" max="62" width="14.6640625" style="103" bestFit="1" customWidth="1"/>
    <col min="63" max="63" width="15.5" style="103" bestFit="1" customWidth="1"/>
    <col min="64" max="64" width="14.6640625" style="103" bestFit="1" customWidth="1"/>
    <col min="65" max="65" width="11.83203125" style="103" bestFit="1" customWidth="1"/>
    <col min="66" max="16384" width="9.33203125" style="103"/>
  </cols>
  <sheetData>
    <row r="1" spans="1:56" x14ac:dyDescent="0.2">
      <c r="A1" s="102" t="s">
        <v>31</v>
      </c>
      <c r="I1" s="104" t="s">
        <v>32</v>
      </c>
      <c r="K1" s="102" t="s">
        <v>31</v>
      </c>
      <c r="S1" s="104" t="s">
        <v>32</v>
      </c>
      <c r="U1" s="102" t="s">
        <v>31</v>
      </c>
      <c r="AB1" s="104" t="s">
        <v>33</v>
      </c>
      <c r="AD1" s="102" t="s">
        <v>31</v>
      </c>
      <c r="AN1" s="104" t="s">
        <v>33</v>
      </c>
      <c r="AY1" s="102"/>
    </row>
    <row r="2" spans="1:56" x14ac:dyDescent="0.2">
      <c r="A2" s="102" t="s">
        <v>7</v>
      </c>
      <c r="I2" s="104" t="s">
        <v>211</v>
      </c>
      <c r="K2" s="102" t="s">
        <v>8</v>
      </c>
      <c r="S2" s="104" t="s">
        <v>212</v>
      </c>
      <c r="U2" s="102" t="s">
        <v>13</v>
      </c>
      <c r="AB2" s="106" t="s">
        <v>209</v>
      </c>
      <c r="AD2" s="102" t="s">
        <v>13</v>
      </c>
      <c r="AN2" s="106" t="s">
        <v>210</v>
      </c>
      <c r="AY2" s="102"/>
    </row>
    <row r="3" spans="1:56" x14ac:dyDescent="0.2">
      <c r="A3" s="102" t="s">
        <v>25</v>
      </c>
      <c r="I3" s="106" t="s">
        <v>112</v>
      </c>
      <c r="K3" s="102" t="str">
        <f>A3</f>
        <v xml:space="preserve">Impact on Calculated E(m) </v>
      </c>
      <c r="S3" s="106" t="str">
        <f>I3</f>
        <v>Rahn /Metts</v>
      </c>
      <c r="U3" s="107" t="s">
        <v>115</v>
      </c>
      <c r="AB3" s="106" t="s">
        <v>108</v>
      </c>
      <c r="AD3" s="107" t="s">
        <v>115</v>
      </c>
      <c r="AN3" s="106" t="s">
        <v>108</v>
      </c>
      <c r="AY3" s="102"/>
    </row>
    <row r="4" spans="1:56" x14ac:dyDescent="0.2">
      <c r="A4" s="102"/>
      <c r="N4" s="106"/>
      <c r="P4" s="102"/>
      <c r="AC4" s="106"/>
      <c r="AE4" s="107"/>
      <c r="AP4" s="106"/>
      <c r="AR4" s="107"/>
      <c r="AY4" s="102"/>
      <c r="BB4" s="106"/>
    </row>
    <row r="5" spans="1:56" x14ac:dyDescent="0.2">
      <c r="A5" s="102" t="s">
        <v>116</v>
      </c>
      <c r="K5" s="102" t="s">
        <v>116</v>
      </c>
      <c r="N5" s="106"/>
      <c r="P5" s="102"/>
      <c r="U5" s="102" t="s">
        <v>116</v>
      </c>
      <c r="AC5" s="106"/>
      <c r="AE5" s="107"/>
      <c r="AP5" s="106"/>
      <c r="AR5" s="107"/>
      <c r="AY5" s="102"/>
      <c r="BB5" s="106"/>
    </row>
    <row r="6" spans="1:56" ht="13.5" thickBot="1" x14ac:dyDescent="0.25"/>
    <row r="7" spans="1:56" x14ac:dyDescent="0.2">
      <c r="A7" s="176">
        <v>-1</v>
      </c>
      <c r="B7" s="177">
        <f>A7-1</f>
        <v>-2</v>
      </c>
      <c r="C7" s="177">
        <f>B7-1</f>
        <v>-3</v>
      </c>
      <c r="D7" s="177">
        <f>C7-1</f>
        <v>-4</v>
      </c>
      <c r="E7" s="177">
        <f t="shared" ref="E7:H7" si="0">D7-1</f>
        <v>-5</v>
      </c>
      <c r="F7" s="177">
        <f t="shared" si="0"/>
        <v>-6</v>
      </c>
      <c r="G7" s="177">
        <f t="shared" si="0"/>
        <v>-7</v>
      </c>
      <c r="H7" s="177">
        <f t="shared" si="0"/>
        <v>-8</v>
      </c>
      <c r="I7" s="178">
        <f>H7-1</f>
        <v>-9</v>
      </c>
      <c r="K7" s="179">
        <v>-1</v>
      </c>
      <c r="L7" s="180">
        <f>K7-1</f>
        <v>-2</v>
      </c>
      <c r="M7" s="180">
        <f t="shared" ref="M7:R7" si="1">L7-1</f>
        <v>-3</v>
      </c>
      <c r="N7" s="180">
        <f t="shared" si="1"/>
        <v>-4</v>
      </c>
      <c r="O7" s="180">
        <f t="shared" si="1"/>
        <v>-5</v>
      </c>
      <c r="P7" s="180">
        <f t="shared" si="1"/>
        <v>-6</v>
      </c>
      <c r="Q7" s="180">
        <f t="shared" si="1"/>
        <v>-7</v>
      </c>
      <c r="R7" s="180">
        <f t="shared" si="1"/>
        <v>-8</v>
      </c>
      <c r="S7" s="178">
        <f>R7-1</f>
        <v>-9</v>
      </c>
      <c r="U7" s="179">
        <v>-1</v>
      </c>
      <c r="V7" s="180">
        <f>U7-1</f>
        <v>-2</v>
      </c>
      <c r="W7" s="180">
        <f t="shared" ref="W7:AA7" si="2">V7-1</f>
        <v>-3</v>
      </c>
      <c r="X7" s="180">
        <f t="shared" si="2"/>
        <v>-4</v>
      </c>
      <c r="Y7" s="180">
        <f t="shared" si="2"/>
        <v>-5</v>
      </c>
      <c r="Z7" s="180">
        <f t="shared" si="2"/>
        <v>-6</v>
      </c>
      <c r="AA7" s="180">
        <f t="shared" si="2"/>
        <v>-7</v>
      </c>
      <c r="AB7" s="178">
        <f>AA7-1</f>
        <v>-8</v>
      </c>
      <c r="AD7" s="179">
        <v>-1</v>
      </c>
      <c r="AE7" s="180">
        <f>AD7-1</f>
        <v>-2</v>
      </c>
      <c r="AF7" s="180">
        <f t="shared" ref="AF7:AM7" si="3">AE7-1</f>
        <v>-3</v>
      </c>
      <c r="AG7" s="180">
        <f t="shared" si="3"/>
        <v>-4</v>
      </c>
      <c r="AH7" s="180">
        <f t="shared" si="3"/>
        <v>-5</v>
      </c>
      <c r="AI7" s="180">
        <f t="shared" si="3"/>
        <v>-6</v>
      </c>
      <c r="AJ7" s="180">
        <f t="shared" si="3"/>
        <v>-7</v>
      </c>
      <c r="AK7" s="180">
        <f t="shared" si="3"/>
        <v>-8</v>
      </c>
      <c r="AL7" s="180">
        <f t="shared" si="3"/>
        <v>-9</v>
      </c>
      <c r="AM7" s="180">
        <f t="shared" si="3"/>
        <v>-10</v>
      </c>
      <c r="AN7" s="178">
        <f>AM7-1</f>
        <v>-11</v>
      </c>
      <c r="AP7" s="105"/>
      <c r="BD7" s="103"/>
    </row>
    <row r="8" spans="1:56" s="111" customFormat="1" ht="51" x14ac:dyDescent="0.2">
      <c r="A8" s="108" t="s">
        <v>0</v>
      </c>
      <c r="B8" s="109" t="s">
        <v>1</v>
      </c>
      <c r="C8" s="109" t="s">
        <v>2</v>
      </c>
      <c r="D8" s="109" t="s">
        <v>3</v>
      </c>
      <c r="E8" s="109" t="s">
        <v>21</v>
      </c>
      <c r="F8" s="109" t="s">
        <v>4</v>
      </c>
      <c r="G8" s="109" t="s">
        <v>5</v>
      </c>
      <c r="H8" s="109" t="s">
        <v>24</v>
      </c>
      <c r="I8" s="110" t="s">
        <v>34</v>
      </c>
      <c r="K8" s="108" t="s">
        <v>0</v>
      </c>
      <c r="L8" s="109" t="s">
        <v>1</v>
      </c>
      <c r="M8" s="109" t="s">
        <v>2</v>
      </c>
      <c r="N8" s="109" t="s">
        <v>9</v>
      </c>
      <c r="O8" s="109" t="s">
        <v>10</v>
      </c>
      <c r="P8" s="109" t="s">
        <v>16</v>
      </c>
      <c r="Q8" s="109" t="s">
        <v>5</v>
      </c>
      <c r="R8" s="109" t="s">
        <v>24</v>
      </c>
      <c r="S8" s="110" t="s">
        <v>34</v>
      </c>
      <c r="U8" s="108" t="s">
        <v>1</v>
      </c>
      <c r="V8" s="109" t="s">
        <v>16</v>
      </c>
      <c r="W8" s="109" t="s">
        <v>14</v>
      </c>
      <c r="X8" s="109" t="s">
        <v>9</v>
      </c>
      <c r="Y8" s="109" t="s">
        <v>22</v>
      </c>
      <c r="Z8" s="109" t="s">
        <v>17</v>
      </c>
      <c r="AA8" s="109" t="s">
        <v>42</v>
      </c>
      <c r="AB8" s="112" t="s">
        <v>18</v>
      </c>
      <c r="AD8" s="108" t="s">
        <v>1</v>
      </c>
      <c r="AE8" s="109" t="s">
        <v>35</v>
      </c>
      <c r="AF8" s="288" t="s">
        <v>43</v>
      </c>
      <c r="AG8" s="109" t="s">
        <v>28</v>
      </c>
      <c r="AH8" s="109" t="s">
        <v>37</v>
      </c>
      <c r="AI8" s="109" t="s">
        <v>38</v>
      </c>
      <c r="AJ8" s="109" t="s">
        <v>19</v>
      </c>
      <c r="AK8" s="109" t="s">
        <v>29</v>
      </c>
      <c r="AL8" s="109" t="s">
        <v>39</v>
      </c>
      <c r="AM8" s="109" t="s">
        <v>40</v>
      </c>
      <c r="AN8" s="112" t="s">
        <v>20</v>
      </c>
      <c r="AP8" s="113"/>
    </row>
    <row r="9" spans="1:56" ht="74.25" customHeight="1" x14ac:dyDescent="0.2">
      <c r="A9" s="114"/>
      <c r="B9" s="115"/>
      <c r="C9" s="170"/>
      <c r="D9" s="170"/>
      <c r="E9" s="170"/>
      <c r="F9" s="120" t="s">
        <v>118</v>
      </c>
      <c r="G9" s="120" t="s">
        <v>119</v>
      </c>
      <c r="H9" s="117"/>
      <c r="I9" s="118" t="s">
        <v>6</v>
      </c>
      <c r="K9" s="114"/>
      <c r="L9" s="115"/>
      <c r="M9" s="170"/>
      <c r="N9" s="170"/>
      <c r="O9" s="120" t="s">
        <v>11</v>
      </c>
      <c r="P9" s="170"/>
      <c r="Q9" s="120" t="s">
        <v>12</v>
      </c>
      <c r="R9" s="117"/>
      <c r="S9" s="118" t="s">
        <v>6</v>
      </c>
      <c r="U9" s="114"/>
      <c r="V9" s="170" t="s">
        <v>120</v>
      </c>
      <c r="W9" s="120" t="s">
        <v>121</v>
      </c>
      <c r="X9" s="170"/>
      <c r="Y9" s="117" t="s">
        <v>15</v>
      </c>
      <c r="Z9" s="119" t="s">
        <v>26</v>
      </c>
      <c r="AA9" s="117" t="s">
        <v>23</v>
      </c>
      <c r="AB9" s="118" t="s">
        <v>27</v>
      </c>
      <c r="AD9" s="114"/>
      <c r="AE9" s="170" t="s">
        <v>128</v>
      </c>
      <c r="AF9" s="120" t="s">
        <v>125</v>
      </c>
      <c r="AG9" s="116" t="s">
        <v>36</v>
      </c>
      <c r="AH9" s="117" t="s">
        <v>30</v>
      </c>
      <c r="AI9" s="117" t="s">
        <v>30</v>
      </c>
      <c r="AJ9" s="117" t="s">
        <v>30</v>
      </c>
      <c r="AK9" s="121"/>
      <c r="AL9" s="117" t="s">
        <v>30</v>
      </c>
      <c r="AM9" s="117" t="s">
        <v>30</v>
      </c>
      <c r="AN9" s="122" t="s">
        <v>41</v>
      </c>
      <c r="AP9" s="105"/>
      <c r="BD9" s="103"/>
    </row>
    <row r="10" spans="1:56" x14ac:dyDescent="0.2">
      <c r="A10" s="282">
        <v>42125</v>
      </c>
      <c r="B10" s="283">
        <f>EDATE(A10,-2)</f>
        <v>42064</v>
      </c>
      <c r="C10" s="134">
        <v>0.1022</v>
      </c>
      <c r="D10" s="124">
        <v>1011330612</v>
      </c>
      <c r="E10" s="125">
        <f t="shared" ref="E10:E15" si="4">V10</f>
        <v>1011330612</v>
      </c>
      <c r="F10" s="146">
        <f>(E10-D10)</f>
        <v>0</v>
      </c>
      <c r="G10" s="146">
        <f>(C10*F10)/12</f>
        <v>0</v>
      </c>
      <c r="H10" s="134">
        <v>0.84870000000000001</v>
      </c>
      <c r="I10" s="148">
        <f>G10*H10</f>
        <v>0</v>
      </c>
      <c r="K10" s="284">
        <f>A10</f>
        <v>42125</v>
      </c>
      <c r="L10" s="285">
        <f>B10</f>
        <v>42064</v>
      </c>
      <c r="M10" s="123">
        <f>C10</f>
        <v>0.1022</v>
      </c>
      <c r="N10" s="123">
        <f t="shared" ref="N10:N15" si="5">+X10</f>
        <v>0.1056</v>
      </c>
      <c r="O10" s="123">
        <f t="shared" ref="O10:O15" si="6">N10-M10</f>
        <v>3.4000000000000002E-3</v>
      </c>
      <c r="P10" s="126">
        <f t="shared" ref="P10:P15" si="7">V10</f>
        <v>1011330612</v>
      </c>
      <c r="Q10" s="127">
        <f t="shared" ref="Q10:Q15" si="8">(O10*P10)/12</f>
        <v>286543.67340000003</v>
      </c>
      <c r="R10" s="128">
        <f t="shared" ref="R10:R15" si="9">H10</f>
        <v>0.84870000000000001</v>
      </c>
      <c r="S10" s="166">
        <f>R10*Q10</f>
        <v>243189.61561458002</v>
      </c>
      <c r="U10" s="129">
        <f t="shared" ref="U10:U15" si="10">L10</f>
        <v>42064</v>
      </c>
      <c r="V10" s="124">
        <v>1011330612</v>
      </c>
      <c r="W10" s="126">
        <f t="shared" ref="W10:W15" si="11">V10/12</f>
        <v>84277551</v>
      </c>
      <c r="X10" s="130">
        <v>0.1056</v>
      </c>
      <c r="Y10" s="124">
        <v>2771960.33</v>
      </c>
      <c r="Z10" s="126">
        <f t="shared" ref="Z10:Z15" si="12">(W10*X10)+Y10</f>
        <v>11671669.715600001</v>
      </c>
      <c r="AA10" s="130">
        <f t="shared" ref="AA10:AA15" si="13">R10</f>
        <v>0.84870000000000001</v>
      </c>
      <c r="AB10" s="174">
        <f t="shared" ref="AB10:AB15" si="14">Z10*AA10</f>
        <v>9905746.0876297206</v>
      </c>
      <c r="AD10" s="129">
        <f t="shared" ref="AD10:AD15" si="15">U10</f>
        <v>42064</v>
      </c>
      <c r="AE10" s="132">
        <f>AB10+AB49</f>
        <v>9905746.0876297206</v>
      </c>
      <c r="AF10" s="133">
        <v>0</v>
      </c>
      <c r="AG10" s="126">
        <f t="shared" ref="AG10:AG15" si="16">SUM(AE10:AF10)</f>
        <v>9905746.0876297206</v>
      </c>
      <c r="AH10" s="134">
        <v>3.6744917772936529E-2</v>
      </c>
      <c r="AI10" s="134">
        <v>6.367227012420397E-2</v>
      </c>
      <c r="AJ10" s="124">
        <v>5161444</v>
      </c>
      <c r="AK10" s="135">
        <f t="shared" ref="AK10:AK15" si="17">+A10</f>
        <v>42125</v>
      </c>
      <c r="AL10" s="124">
        <v>1256726.0700000008</v>
      </c>
      <c r="AM10" s="124">
        <v>2502085.5599999991</v>
      </c>
      <c r="AN10" s="136">
        <f t="shared" ref="AN10:AN15" si="18">(AJ10+AL10+AM10)-AG10</f>
        <v>-985490.45762972161</v>
      </c>
      <c r="AP10" s="132"/>
      <c r="AQ10" s="137"/>
      <c r="AR10" s="137"/>
      <c r="AS10" s="137"/>
      <c r="AT10" s="137"/>
      <c r="AU10" s="137"/>
      <c r="AV10" s="137"/>
      <c r="AW10" s="137"/>
      <c r="AX10" s="137"/>
      <c r="AY10" s="137"/>
      <c r="BD10" s="103"/>
    </row>
    <row r="11" spans="1:56" x14ac:dyDescent="0.2">
      <c r="A11" s="282">
        <v>42156</v>
      </c>
      <c r="B11" s="283">
        <f t="shared" ref="B11:B15" si="19">EDATE(A11,-2)</f>
        <v>42095</v>
      </c>
      <c r="C11" s="134">
        <v>0.1022</v>
      </c>
      <c r="D11" s="132">
        <v>1028733727</v>
      </c>
      <c r="E11" s="132">
        <f t="shared" si="4"/>
        <v>1028733727</v>
      </c>
      <c r="F11" s="146">
        <f t="shared" ref="F11:F15" si="20">(E11-D11)</f>
        <v>0</v>
      </c>
      <c r="G11" s="140">
        <f>(C11*F11)/12</f>
        <v>0</v>
      </c>
      <c r="H11" s="134">
        <v>0.88580000000000003</v>
      </c>
      <c r="I11" s="148">
        <f t="shared" ref="I11:I15" si="21">G11*H11</f>
        <v>0</v>
      </c>
      <c r="K11" s="282">
        <f t="shared" ref="K11:M15" si="22">A11</f>
        <v>42156</v>
      </c>
      <c r="L11" s="283">
        <f t="shared" si="22"/>
        <v>42095</v>
      </c>
      <c r="M11" s="134">
        <f t="shared" si="22"/>
        <v>0.1022</v>
      </c>
      <c r="N11" s="134">
        <f t="shared" si="5"/>
        <v>0.1056</v>
      </c>
      <c r="O11" s="134">
        <f t="shared" si="6"/>
        <v>3.4000000000000002E-3</v>
      </c>
      <c r="P11" s="141">
        <f t="shared" si="7"/>
        <v>1028733727</v>
      </c>
      <c r="Q11" s="140">
        <f t="shared" si="8"/>
        <v>291474.55598333332</v>
      </c>
      <c r="R11" s="130">
        <f t="shared" si="9"/>
        <v>0.88580000000000003</v>
      </c>
      <c r="S11" s="166">
        <f t="shared" ref="S11:S15" si="23">R11*Q11</f>
        <v>258188.16169003668</v>
      </c>
      <c r="U11" s="129">
        <f t="shared" si="10"/>
        <v>42095</v>
      </c>
      <c r="V11" s="132">
        <v>1028733727</v>
      </c>
      <c r="W11" s="132">
        <f t="shared" si="11"/>
        <v>85727810.583333328</v>
      </c>
      <c r="X11" s="130">
        <v>0.1056</v>
      </c>
      <c r="Y11" s="132">
        <v>2899591.68</v>
      </c>
      <c r="Z11" s="132">
        <f t="shared" si="12"/>
        <v>11952448.477599999</v>
      </c>
      <c r="AA11" s="130">
        <f t="shared" si="13"/>
        <v>0.88580000000000003</v>
      </c>
      <c r="AB11" s="168">
        <f t="shared" si="14"/>
        <v>10587478.86145808</v>
      </c>
      <c r="AD11" s="129">
        <f t="shared" si="15"/>
        <v>42095</v>
      </c>
      <c r="AE11" s="132">
        <f>AB11+AB50</f>
        <v>10587478.86145808</v>
      </c>
      <c r="AF11" s="140">
        <v>0</v>
      </c>
      <c r="AG11" s="132">
        <f t="shared" si="16"/>
        <v>10587478.86145808</v>
      </c>
      <c r="AH11" s="134">
        <v>5.3996878625367374E-2</v>
      </c>
      <c r="AI11" s="134">
        <v>9.3366139508420085E-2</v>
      </c>
      <c r="AJ11" s="132">
        <v>3742568</v>
      </c>
      <c r="AK11" s="135">
        <f t="shared" si="17"/>
        <v>42156</v>
      </c>
      <c r="AL11" s="132">
        <v>2352982.879999999</v>
      </c>
      <c r="AM11" s="132">
        <v>3809970.4500000011</v>
      </c>
      <c r="AN11" s="142">
        <f t="shared" si="18"/>
        <v>-681957.53145807981</v>
      </c>
      <c r="AP11" s="132"/>
      <c r="AQ11" s="137"/>
      <c r="AR11" s="137"/>
      <c r="AS11" s="137"/>
      <c r="AT11" s="137"/>
      <c r="AU11" s="137"/>
      <c r="AV11" s="137"/>
      <c r="AW11" s="137"/>
      <c r="AX11" s="137"/>
      <c r="AY11" s="137"/>
      <c r="BD11" s="103"/>
    </row>
    <row r="12" spans="1:56" x14ac:dyDescent="0.2">
      <c r="A12" s="282">
        <v>42186</v>
      </c>
      <c r="B12" s="283">
        <f t="shared" si="19"/>
        <v>42125</v>
      </c>
      <c r="C12" s="134">
        <v>0.1022</v>
      </c>
      <c r="D12" s="132">
        <v>1035180880</v>
      </c>
      <c r="E12" s="132">
        <f t="shared" si="4"/>
        <v>1035180880</v>
      </c>
      <c r="F12" s="146">
        <f t="shared" si="20"/>
        <v>0</v>
      </c>
      <c r="G12" s="140">
        <f>(C12*F12)/12</f>
        <v>0</v>
      </c>
      <c r="H12" s="134">
        <v>0.86099999999999999</v>
      </c>
      <c r="I12" s="148">
        <f t="shared" si="21"/>
        <v>0</v>
      </c>
      <c r="K12" s="282">
        <f t="shared" si="22"/>
        <v>42186</v>
      </c>
      <c r="L12" s="283">
        <f t="shared" si="22"/>
        <v>42125</v>
      </c>
      <c r="M12" s="134">
        <f t="shared" si="22"/>
        <v>0.1022</v>
      </c>
      <c r="N12" s="134">
        <f t="shared" si="5"/>
        <v>0.1056</v>
      </c>
      <c r="O12" s="134">
        <f t="shared" si="6"/>
        <v>3.4000000000000002E-3</v>
      </c>
      <c r="P12" s="141">
        <f t="shared" si="7"/>
        <v>1035180880</v>
      </c>
      <c r="Q12" s="140">
        <f t="shared" si="8"/>
        <v>293301.24933333334</v>
      </c>
      <c r="R12" s="130">
        <f t="shared" si="9"/>
        <v>0.86099999999999999</v>
      </c>
      <c r="S12" s="166">
        <f t="shared" si="23"/>
        <v>252532.375676</v>
      </c>
      <c r="U12" s="129">
        <f t="shared" si="10"/>
        <v>42125</v>
      </c>
      <c r="V12" s="132">
        <v>1035180880</v>
      </c>
      <c r="W12" s="132">
        <f t="shared" si="11"/>
        <v>86265073.333333328</v>
      </c>
      <c r="X12" s="130">
        <v>0.1056</v>
      </c>
      <c r="Y12" s="132">
        <v>3241044.09</v>
      </c>
      <c r="Z12" s="132">
        <f t="shared" si="12"/>
        <v>12350635.833999999</v>
      </c>
      <c r="AA12" s="130">
        <f t="shared" si="13"/>
        <v>0.86099999999999999</v>
      </c>
      <c r="AB12" s="168">
        <f t="shared" si="14"/>
        <v>10633897.453073999</v>
      </c>
      <c r="AD12" s="129">
        <f t="shared" si="15"/>
        <v>42125</v>
      </c>
      <c r="AE12" s="132">
        <f t="shared" ref="AE12:AE15" si="24">AB12+AB51</f>
        <v>10633897.453073999</v>
      </c>
      <c r="AF12" s="140">
        <v>0</v>
      </c>
      <c r="AG12" s="132">
        <f t="shared" si="16"/>
        <v>10633897.453073999</v>
      </c>
      <c r="AH12" s="134">
        <v>5.6611831838091833E-2</v>
      </c>
      <c r="AI12" s="134">
        <v>9.7466820485109726E-2</v>
      </c>
      <c r="AJ12" s="132">
        <v>3522397</v>
      </c>
      <c r="AK12" s="135">
        <f t="shared" si="17"/>
        <v>42186</v>
      </c>
      <c r="AL12" s="132">
        <v>2805937.5500000021</v>
      </c>
      <c r="AM12" s="132">
        <v>4814893.1099999994</v>
      </c>
      <c r="AN12" s="142">
        <f t="shared" si="18"/>
        <v>509330.2069260031</v>
      </c>
      <c r="AO12" s="143"/>
      <c r="AP12" s="132"/>
      <c r="AQ12" s="137"/>
      <c r="AR12" s="137"/>
      <c r="AS12" s="137"/>
      <c r="AT12" s="137"/>
      <c r="AU12" s="137"/>
      <c r="AV12" s="137"/>
      <c r="AW12" s="137"/>
      <c r="AX12" s="137"/>
      <c r="AY12" s="137"/>
      <c r="BD12" s="103"/>
    </row>
    <row r="13" spans="1:56" x14ac:dyDescent="0.2">
      <c r="A13" s="282">
        <v>42217</v>
      </c>
      <c r="B13" s="283">
        <f t="shared" si="19"/>
        <v>42156</v>
      </c>
      <c r="C13" s="134">
        <v>0.10150000000000001</v>
      </c>
      <c r="D13" s="132">
        <v>1042656936</v>
      </c>
      <c r="E13" s="132">
        <f t="shared" si="4"/>
        <v>1042656936</v>
      </c>
      <c r="F13" s="146">
        <f t="shared" si="20"/>
        <v>0</v>
      </c>
      <c r="G13" s="140">
        <f>(C13*F13)/12</f>
        <v>0</v>
      </c>
      <c r="H13" s="134">
        <v>0.86029999999999995</v>
      </c>
      <c r="I13" s="148">
        <f t="shared" si="21"/>
        <v>0</v>
      </c>
      <c r="K13" s="282">
        <f t="shared" si="22"/>
        <v>42217</v>
      </c>
      <c r="L13" s="283">
        <f t="shared" si="22"/>
        <v>42156</v>
      </c>
      <c r="M13" s="134">
        <f t="shared" si="22"/>
        <v>0.10150000000000001</v>
      </c>
      <c r="N13" s="134">
        <f t="shared" si="5"/>
        <v>0.1056</v>
      </c>
      <c r="O13" s="134">
        <f t="shared" si="6"/>
        <v>4.0999999999999925E-3</v>
      </c>
      <c r="P13" s="141">
        <f t="shared" si="7"/>
        <v>1042656936</v>
      </c>
      <c r="Q13" s="140">
        <f t="shared" si="8"/>
        <v>356241.11979999935</v>
      </c>
      <c r="R13" s="130">
        <f t="shared" si="9"/>
        <v>0.86029999999999995</v>
      </c>
      <c r="S13" s="166">
        <f t="shared" si="23"/>
        <v>306474.23536393943</v>
      </c>
      <c r="U13" s="129">
        <f t="shared" si="10"/>
        <v>42156</v>
      </c>
      <c r="V13" s="132">
        <v>1042656936</v>
      </c>
      <c r="W13" s="132">
        <f t="shared" si="11"/>
        <v>86888078</v>
      </c>
      <c r="X13" s="130">
        <v>0.1056</v>
      </c>
      <c r="Y13" s="132">
        <v>3441474.29</v>
      </c>
      <c r="Z13" s="132">
        <f t="shared" si="12"/>
        <v>12616855.3268</v>
      </c>
      <c r="AA13" s="130">
        <f t="shared" si="13"/>
        <v>0.86029999999999995</v>
      </c>
      <c r="AB13" s="168">
        <f t="shared" si="14"/>
        <v>10854280.63764604</v>
      </c>
      <c r="AD13" s="129">
        <f t="shared" si="15"/>
        <v>42156</v>
      </c>
      <c r="AE13" s="132">
        <f t="shared" si="24"/>
        <v>10854280.63764604</v>
      </c>
      <c r="AF13" s="140">
        <v>-739055</v>
      </c>
      <c r="AG13" s="132">
        <f t="shared" si="16"/>
        <v>10115225.63764604</v>
      </c>
      <c r="AH13" s="134">
        <v>4.7829325453535361E-2</v>
      </c>
      <c r="AI13" s="134">
        <v>8.1904472229130998E-2</v>
      </c>
      <c r="AJ13" s="132">
        <v>4047553</v>
      </c>
      <c r="AK13" s="135">
        <f t="shared" si="17"/>
        <v>42217</v>
      </c>
      <c r="AL13" s="132">
        <v>2536755.6199999987</v>
      </c>
      <c r="AM13" s="132">
        <v>3862097.6799999997</v>
      </c>
      <c r="AN13" s="142">
        <f t="shared" si="18"/>
        <v>331180.66235395893</v>
      </c>
      <c r="AO13" s="143"/>
      <c r="AP13" s="132"/>
      <c r="AQ13" s="137"/>
      <c r="AR13" s="137"/>
      <c r="AS13" s="137"/>
      <c r="AT13" s="137"/>
      <c r="AU13" s="137"/>
      <c r="AV13" s="137"/>
      <c r="AW13" s="137"/>
      <c r="AX13" s="137"/>
      <c r="AY13" s="137"/>
      <c r="BD13" s="103"/>
    </row>
    <row r="14" spans="1:56" x14ac:dyDescent="0.2">
      <c r="A14" s="282">
        <v>42248</v>
      </c>
      <c r="B14" s="283">
        <f t="shared" si="19"/>
        <v>42186</v>
      </c>
      <c r="C14" s="134">
        <v>9.9500000000000005E-2</v>
      </c>
      <c r="D14" s="132">
        <v>1062420272</v>
      </c>
      <c r="E14" s="132">
        <f t="shared" si="4"/>
        <v>1062420272</v>
      </c>
      <c r="F14" s="146">
        <f t="shared" si="20"/>
        <v>0</v>
      </c>
      <c r="G14" s="140">
        <f>(C14*F14)/12</f>
        <v>0</v>
      </c>
      <c r="H14" s="134">
        <v>0.86129999999999995</v>
      </c>
      <c r="I14" s="148">
        <f t="shared" si="21"/>
        <v>0</v>
      </c>
      <c r="K14" s="282">
        <f t="shared" si="22"/>
        <v>42248</v>
      </c>
      <c r="L14" s="283">
        <f t="shared" si="22"/>
        <v>42186</v>
      </c>
      <c r="M14" s="134">
        <f t="shared" si="22"/>
        <v>9.9500000000000005E-2</v>
      </c>
      <c r="N14" s="134">
        <f t="shared" si="5"/>
        <v>0.10340000000000001</v>
      </c>
      <c r="O14" s="134">
        <f t="shared" si="6"/>
        <v>3.9000000000000007E-3</v>
      </c>
      <c r="P14" s="141">
        <f t="shared" si="7"/>
        <v>1062420272</v>
      </c>
      <c r="Q14" s="140">
        <f t="shared" si="8"/>
        <v>345286.58840000007</v>
      </c>
      <c r="R14" s="130">
        <f t="shared" si="9"/>
        <v>0.86129999999999995</v>
      </c>
      <c r="S14" s="166">
        <f t="shared" si="23"/>
        <v>297395.33858892001</v>
      </c>
      <c r="U14" s="129">
        <f t="shared" si="10"/>
        <v>42186</v>
      </c>
      <c r="V14" s="132">
        <v>1062420272</v>
      </c>
      <c r="W14" s="132">
        <f t="shared" si="11"/>
        <v>88535022.666666672</v>
      </c>
      <c r="X14" s="130">
        <v>0.10340000000000001</v>
      </c>
      <c r="Y14" s="132">
        <v>3795486.4966666666</v>
      </c>
      <c r="Z14" s="132">
        <f t="shared" si="12"/>
        <v>12950007.840400001</v>
      </c>
      <c r="AA14" s="130">
        <f t="shared" si="13"/>
        <v>0.86129999999999995</v>
      </c>
      <c r="AB14" s="168">
        <f t="shared" si="14"/>
        <v>11153841.75293652</v>
      </c>
      <c r="AD14" s="129">
        <f t="shared" si="15"/>
        <v>42186</v>
      </c>
      <c r="AE14" s="132">
        <f t="shared" si="24"/>
        <v>11153841.75293652</v>
      </c>
      <c r="AF14" s="140">
        <v>-739055</v>
      </c>
      <c r="AG14" s="132">
        <f t="shared" si="16"/>
        <v>10414786.75293652</v>
      </c>
      <c r="AH14" s="134">
        <v>4.6541847239971561E-2</v>
      </c>
      <c r="AI14" s="134">
        <v>7.9228760830452716E-2</v>
      </c>
      <c r="AJ14" s="132">
        <v>4511501</v>
      </c>
      <c r="AK14" s="135">
        <f t="shared" si="17"/>
        <v>42248</v>
      </c>
      <c r="AL14" s="132">
        <v>2303940.2000000002</v>
      </c>
      <c r="AM14" s="132">
        <v>3796071.8099999996</v>
      </c>
      <c r="AN14" s="142">
        <f t="shared" si="18"/>
        <v>196726.25706348009</v>
      </c>
      <c r="AO14" s="143"/>
      <c r="AP14" s="132"/>
      <c r="AQ14" s="137"/>
      <c r="AR14" s="137"/>
      <c r="AS14" s="137"/>
      <c r="AT14" s="137"/>
      <c r="AU14" s="137"/>
      <c r="AV14" s="137"/>
      <c r="AW14" s="137"/>
      <c r="AX14" s="137"/>
      <c r="AY14" s="137"/>
      <c r="BD14" s="103"/>
    </row>
    <row r="15" spans="1:56" x14ac:dyDescent="0.2">
      <c r="A15" s="282">
        <v>42278</v>
      </c>
      <c r="B15" s="283">
        <f t="shared" si="19"/>
        <v>42217</v>
      </c>
      <c r="C15" s="134">
        <v>9.9500000000000005E-2</v>
      </c>
      <c r="D15" s="132">
        <v>1073710930</v>
      </c>
      <c r="E15" s="132">
        <f t="shared" si="4"/>
        <v>1073710930</v>
      </c>
      <c r="F15" s="146">
        <f t="shared" si="20"/>
        <v>0</v>
      </c>
      <c r="G15" s="144">
        <f>(C15*F18)/12</f>
        <v>0</v>
      </c>
      <c r="H15" s="134">
        <v>0.86939999999999995</v>
      </c>
      <c r="I15" s="172">
        <f t="shared" si="21"/>
        <v>0</v>
      </c>
      <c r="K15" s="282">
        <f t="shared" si="22"/>
        <v>42278</v>
      </c>
      <c r="L15" s="283">
        <f t="shared" si="22"/>
        <v>42217</v>
      </c>
      <c r="M15" s="134">
        <f t="shared" si="22"/>
        <v>9.9500000000000005E-2</v>
      </c>
      <c r="N15" s="134">
        <f t="shared" si="5"/>
        <v>0.10340000000000001</v>
      </c>
      <c r="O15" s="134">
        <f t="shared" si="6"/>
        <v>3.9000000000000007E-3</v>
      </c>
      <c r="P15" s="141">
        <f t="shared" si="7"/>
        <v>1073710930</v>
      </c>
      <c r="Q15" s="144">
        <f t="shared" si="8"/>
        <v>348956.05225000007</v>
      </c>
      <c r="R15" s="130">
        <f t="shared" si="9"/>
        <v>0.86939999999999995</v>
      </c>
      <c r="S15" s="175">
        <f t="shared" si="23"/>
        <v>303382.39182615007</v>
      </c>
      <c r="U15" s="129">
        <f t="shared" si="10"/>
        <v>42217</v>
      </c>
      <c r="V15" s="132">
        <v>1073710930</v>
      </c>
      <c r="W15" s="132">
        <f t="shared" si="11"/>
        <v>89475910.833333328</v>
      </c>
      <c r="X15" s="130">
        <v>0.10340000000000001</v>
      </c>
      <c r="Y15" s="132">
        <v>3648830.6766666668</v>
      </c>
      <c r="Z15" s="132">
        <f t="shared" si="12"/>
        <v>12900639.856833335</v>
      </c>
      <c r="AA15" s="130">
        <f t="shared" si="13"/>
        <v>0.86939999999999995</v>
      </c>
      <c r="AB15" s="168">
        <f t="shared" si="14"/>
        <v>11215816.291530902</v>
      </c>
      <c r="AD15" s="129">
        <f t="shared" si="15"/>
        <v>42217</v>
      </c>
      <c r="AE15" s="132">
        <f t="shared" si="24"/>
        <v>11215816.291530902</v>
      </c>
      <c r="AF15" s="140">
        <v>0</v>
      </c>
      <c r="AG15" s="132">
        <f t="shared" si="16"/>
        <v>11215816.291530902</v>
      </c>
      <c r="AH15" s="134">
        <v>5.4640396008029259E-2</v>
      </c>
      <c r="AI15" s="134">
        <v>9.2365368124425959E-2</v>
      </c>
      <c r="AJ15" s="132">
        <v>4280639</v>
      </c>
      <c r="AK15" s="135">
        <f t="shared" si="17"/>
        <v>42278</v>
      </c>
      <c r="AL15" s="132">
        <v>2043123.0099999995</v>
      </c>
      <c r="AM15" s="132">
        <v>4212533.5600000005</v>
      </c>
      <c r="AN15" s="142">
        <f t="shared" si="18"/>
        <v>-679520.72153090127</v>
      </c>
      <c r="AO15" s="143"/>
      <c r="AP15" s="132"/>
      <c r="AQ15" s="137"/>
      <c r="AR15" s="137"/>
      <c r="AS15" s="137"/>
      <c r="AT15" s="137"/>
      <c r="AU15" s="137"/>
      <c r="AV15" s="137"/>
      <c r="AW15" s="137"/>
      <c r="AX15" s="137"/>
      <c r="AY15" s="137"/>
      <c r="BD15" s="103"/>
    </row>
    <row r="16" spans="1:56" x14ac:dyDescent="0.2">
      <c r="A16" s="282"/>
      <c r="B16" s="283"/>
      <c r="C16" s="134"/>
      <c r="D16" s="145"/>
      <c r="E16" s="132"/>
      <c r="F16" s="132"/>
      <c r="G16" s="146">
        <f>SUM(G10:G15)</f>
        <v>0</v>
      </c>
      <c r="H16" s="147"/>
      <c r="I16" s="148">
        <f>SUM(I10:I15)</f>
        <v>0</v>
      </c>
      <c r="K16" s="286"/>
      <c r="L16" s="287"/>
      <c r="M16" s="147"/>
      <c r="N16" s="147"/>
      <c r="O16" s="147"/>
      <c r="P16" s="147"/>
      <c r="Q16" s="146">
        <f>SUM(Q10:Q15)</f>
        <v>1921803.2391666663</v>
      </c>
      <c r="R16" s="147"/>
      <c r="S16" s="148">
        <f>SUM(S10:S15)</f>
        <v>1661162.1187596261</v>
      </c>
      <c r="U16" s="129"/>
      <c r="V16" s="132"/>
      <c r="W16" s="147"/>
      <c r="X16" s="147"/>
      <c r="Y16" s="141"/>
      <c r="Z16" s="147"/>
      <c r="AA16" s="147"/>
      <c r="AB16" s="131"/>
      <c r="AD16" s="149"/>
      <c r="AE16" s="147"/>
      <c r="AF16" s="147"/>
      <c r="AG16" s="150">
        <f>SUM(AG10:AG15)</f>
        <v>62872951.084275261</v>
      </c>
      <c r="AH16" s="147"/>
      <c r="AI16" s="147"/>
      <c r="AJ16" s="150">
        <f>SUM(AJ10:AJ15)</f>
        <v>25266102</v>
      </c>
      <c r="AK16" s="147"/>
      <c r="AL16" s="150">
        <f>SUM(AL10:AL15)</f>
        <v>13299465.33</v>
      </c>
      <c r="AM16" s="150">
        <f>SUM(AM10:AM15)</f>
        <v>22997652.170000002</v>
      </c>
      <c r="AN16" s="151">
        <f>SUM(AN10:AN15)</f>
        <v>-1309731.5842752606</v>
      </c>
      <c r="AO16" s="143"/>
      <c r="AP16"/>
      <c r="AQ16" s="137"/>
      <c r="AR16" s="137"/>
      <c r="AS16" s="137"/>
      <c r="AT16" s="137"/>
      <c r="AU16" s="137"/>
      <c r="AV16" s="137"/>
      <c r="AW16" s="137"/>
      <c r="AX16" s="137"/>
      <c r="AY16" s="137"/>
      <c r="BD16" s="103"/>
    </row>
    <row r="17" spans="1:56" x14ac:dyDescent="0.2">
      <c r="A17" s="282"/>
      <c r="B17" s="283"/>
      <c r="C17" s="134"/>
      <c r="D17" s="145"/>
      <c r="E17" s="132"/>
      <c r="F17" s="132"/>
      <c r="G17" s="132"/>
      <c r="H17" s="134"/>
      <c r="I17" s="131"/>
      <c r="K17" s="282"/>
      <c r="L17" s="283"/>
      <c r="M17" s="134"/>
      <c r="N17" s="134"/>
      <c r="O17" s="134"/>
      <c r="P17" s="141"/>
      <c r="Q17" s="141"/>
      <c r="R17" s="130"/>
      <c r="S17" s="131"/>
      <c r="U17" s="149"/>
      <c r="V17" s="132"/>
      <c r="W17" s="147"/>
      <c r="X17" s="147"/>
      <c r="Y17" s="147"/>
      <c r="Z17" s="147"/>
      <c r="AA17" s="147"/>
      <c r="AB17" s="131"/>
      <c r="AD17" s="149"/>
      <c r="AE17" s="147"/>
      <c r="AF17" s="147"/>
      <c r="AG17" s="154"/>
      <c r="AH17" s="147"/>
      <c r="AI17" s="147"/>
      <c r="AJ17" s="154"/>
      <c r="AK17" s="147"/>
      <c r="AL17" s="154"/>
      <c r="AM17" s="94" t="s">
        <v>122</v>
      </c>
      <c r="AN17" s="181">
        <v>-1309732</v>
      </c>
      <c r="AO17" s="143"/>
      <c r="AP17"/>
      <c r="AQ17"/>
      <c r="AR17" s="137"/>
      <c r="AS17" s="137"/>
      <c r="AT17" s="137"/>
      <c r="AU17" s="137"/>
      <c r="AV17" s="137"/>
      <c r="AW17" s="137"/>
      <c r="AX17" s="137"/>
      <c r="AY17" s="137"/>
      <c r="BD17" s="103"/>
    </row>
    <row r="18" spans="1:56" x14ac:dyDescent="0.2">
      <c r="A18" s="282">
        <v>42309</v>
      </c>
      <c r="B18" s="283">
        <f t="shared" ref="B18:B23" si="25">EDATE(A18,-2)</f>
        <v>42248</v>
      </c>
      <c r="C18" s="134">
        <v>9.9500000000000005E-2</v>
      </c>
      <c r="D18" s="124">
        <v>1077476038</v>
      </c>
      <c r="E18" s="125">
        <f t="shared" ref="E18:E23" si="26">V18</f>
        <v>1077476038</v>
      </c>
      <c r="F18" s="146">
        <f t="shared" ref="F18:F23" si="27">(E18-D18)</f>
        <v>0</v>
      </c>
      <c r="G18" s="140">
        <f t="shared" ref="G18:G23" si="28">(C18*F18)/12</f>
        <v>0</v>
      </c>
      <c r="H18" s="134">
        <v>0.87360000000000004</v>
      </c>
      <c r="I18" s="148">
        <f>G18*H18</f>
        <v>0</v>
      </c>
      <c r="K18" s="282">
        <f t="shared" ref="K18:M23" si="29">A18</f>
        <v>42309</v>
      </c>
      <c r="L18" s="283">
        <f t="shared" si="29"/>
        <v>42248</v>
      </c>
      <c r="M18" s="134">
        <f t="shared" si="29"/>
        <v>9.9500000000000005E-2</v>
      </c>
      <c r="N18" s="134">
        <f t="shared" ref="N18:N23" si="30">+X18</f>
        <v>0.1043</v>
      </c>
      <c r="O18" s="134">
        <f t="shared" ref="O18:O23" si="31">N18-M18</f>
        <v>4.7999999999999987E-3</v>
      </c>
      <c r="P18" s="125">
        <f t="shared" ref="P18:P23" si="32">V18</f>
        <v>1077476038</v>
      </c>
      <c r="Q18" s="152">
        <f t="shared" ref="Q18:Q23" si="33">(O18*P18)/12</f>
        <v>430990.41519999987</v>
      </c>
      <c r="R18" s="130">
        <f t="shared" ref="R18:R23" si="34">H18</f>
        <v>0.87360000000000004</v>
      </c>
      <c r="S18" s="166">
        <f>R18*Q18</f>
        <v>376513.22671871993</v>
      </c>
      <c r="U18" s="129">
        <f t="shared" ref="U18:U23" si="35">L18</f>
        <v>42248</v>
      </c>
      <c r="V18" s="124">
        <v>1077476038</v>
      </c>
      <c r="W18" s="125">
        <f t="shared" ref="W18:W23" si="36">V18/12</f>
        <v>89789669.833333328</v>
      </c>
      <c r="X18" s="130">
        <v>0.1043</v>
      </c>
      <c r="Y18" s="124">
        <v>3454242.3066666666</v>
      </c>
      <c r="Z18" s="125">
        <f t="shared" ref="Z18:Z23" si="37">(W18*X18)+Y18</f>
        <v>12819304.870283334</v>
      </c>
      <c r="AA18" s="130">
        <f t="shared" ref="AA18:AA23" si="38">R18</f>
        <v>0.87360000000000004</v>
      </c>
      <c r="AB18" s="166">
        <f t="shared" ref="AB18:AB20" si="39">Z18*AA18</f>
        <v>11198944.73467952</v>
      </c>
      <c r="AD18" s="149"/>
      <c r="AE18" s="147"/>
      <c r="AF18" s="147"/>
      <c r="AG18" s="154"/>
      <c r="AH18" s="147"/>
      <c r="AI18" s="147"/>
      <c r="AJ18" s="154"/>
      <c r="AK18" s="147"/>
      <c r="AL18" s="154"/>
      <c r="AM18" s="154"/>
      <c r="AN18" s="157">
        <f>AN16-AN17</f>
        <v>0.4157247394323349</v>
      </c>
      <c r="AO18" s="143"/>
      <c r="AP18"/>
      <c r="AQ18"/>
      <c r="AR18" s="137"/>
      <c r="AS18" s="137"/>
      <c r="AT18" s="137"/>
      <c r="AU18" s="137"/>
      <c r="AV18" s="137"/>
      <c r="AW18" s="137"/>
      <c r="AX18" s="137"/>
      <c r="AY18" s="137"/>
      <c r="BD18" s="103"/>
    </row>
    <row r="19" spans="1:56" x14ac:dyDescent="0.2">
      <c r="A19" s="282">
        <v>42339</v>
      </c>
      <c r="B19" s="283">
        <f t="shared" si="25"/>
        <v>42278</v>
      </c>
      <c r="C19" s="134">
        <v>9.9500000000000005E-2</v>
      </c>
      <c r="D19" s="145">
        <v>1091437848</v>
      </c>
      <c r="E19" s="132">
        <f t="shared" si="26"/>
        <v>1091437848</v>
      </c>
      <c r="F19" s="146">
        <f t="shared" si="27"/>
        <v>0</v>
      </c>
      <c r="G19" s="140">
        <f t="shared" si="28"/>
        <v>0</v>
      </c>
      <c r="H19" s="134">
        <v>0.89580000000000004</v>
      </c>
      <c r="I19" s="148">
        <f t="shared" ref="I19:I23" si="40">G19*H19</f>
        <v>0</v>
      </c>
      <c r="K19" s="282">
        <f t="shared" si="29"/>
        <v>42339</v>
      </c>
      <c r="L19" s="283">
        <f t="shared" si="29"/>
        <v>42278</v>
      </c>
      <c r="M19" s="134">
        <f t="shared" si="29"/>
        <v>9.9500000000000005E-2</v>
      </c>
      <c r="N19" s="134">
        <f t="shared" si="30"/>
        <v>0.1043</v>
      </c>
      <c r="O19" s="134">
        <f t="shared" si="31"/>
        <v>4.7999999999999987E-3</v>
      </c>
      <c r="P19" s="141">
        <f t="shared" si="32"/>
        <v>1091437848</v>
      </c>
      <c r="Q19" s="140">
        <f t="shared" si="33"/>
        <v>436575.13919999986</v>
      </c>
      <c r="R19" s="130">
        <f t="shared" si="34"/>
        <v>0.89580000000000004</v>
      </c>
      <c r="S19" s="166">
        <f t="shared" ref="S19:S23" si="41">R19*Q19</f>
        <v>391084.00969535991</v>
      </c>
      <c r="U19" s="129">
        <f t="shared" si="35"/>
        <v>42278</v>
      </c>
      <c r="V19" s="145">
        <v>1091437848</v>
      </c>
      <c r="W19" s="132">
        <f t="shared" si="36"/>
        <v>90953154</v>
      </c>
      <c r="X19" s="130">
        <v>0.1043</v>
      </c>
      <c r="Y19" s="132">
        <v>3319390.6566666667</v>
      </c>
      <c r="Z19" s="132">
        <f t="shared" si="37"/>
        <v>12805804.618866667</v>
      </c>
      <c r="AA19" s="130">
        <f t="shared" si="38"/>
        <v>0.89580000000000004</v>
      </c>
      <c r="AB19" s="168">
        <f t="shared" si="39"/>
        <v>11471439.77758076</v>
      </c>
      <c r="AD19" s="149"/>
      <c r="AE19" s="147"/>
      <c r="AF19" s="147"/>
      <c r="AG19" s="147"/>
      <c r="AH19" s="147"/>
      <c r="AI19" s="147"/>
      <c r="AJ19" s="147"/>
      <c r="AK19" s="147"/>
      <c r="AL19" s="147"/>
      <c r="AM19" s="147"/>
      <c r="AN19" s="131"/>
      <c r="AO19" s="143"/>
      <c r="AP19"/>
      <c r="AQ19"/>
      <c r="AR19" s="137"/>
      <c r="AS19" s="137"/>
      <c r="AT19" s="137"/>
      <c r="AU19" s="137"/>
      <c r="AV19" s="137"/>
      <c r="AW19" s="137"/>
      <c r="AX19" s="137"/>
      <c r="AY19" s="137"/>
      <c r="BD19" s="103"/>
    </row>
    <row r="20" spans="1:56" x14ac:dyDescent="0.2">
      <c r="A20" s="282">
        <v>42370</v>
      </c>
      <c r="B20" s="283">
        <f t="shared" si="25"/>
        <v>42309</v>
      </c>
      <c r="C20" s="134">
        <v>9.9500000000000005E-2</v>
      </c>
      <c r="D20" s="145">
        <v>1097853060</v>
      </c>
      <c r="E20" s="132">
        <f t="shared" si="26"/>
        <v>1097853060</v>
      </c>
      <c r="F20" s="146">
        <f t="shared" si="27"/>
        <v>0</v>
      </c>
      <c r="G20" s="140">
        <f t="shared" si="28"/>
        <v>0</v>
      </c>
      <c r="H20" s="134">
        <v>0.88770000000000004</v>
      </c>
      <c r="I20" s="148">
        <f t="shared" si="40"/>
        <v>0</v>
      </c>
      <c r="K20" s="282">
        <f t="shared" si="29"/>
        <v>42370</v>
      </c>
      <c r="L20" s="283">
        <f t="shared" si="29"/>
        <v>42309</v>
      </c>
      <c r="M20" s="134">
        <f t="shared" si="29"/>
        <v>9.9500000000000005E-2</v>
      </c>
      <c r="N20" s="134">
        <f t="shared" si="30"/>
        <v>0.1043</v>
      </c>
      <c r="O20" s="134">
        <f t="shared" si="31"/>
        <v>4.7999999999999987E-3</v>
      </c>
      <c r="P20" s="141">
        <f t="shared" si="32"/>
        <v>1097853060</v>
      </c>
      <c r="Q20" s="140">
        <f t="shared" si="33"/>
        <v>439141.22399999987</v>
      </c>
      <c r="R20" s="130">
        <f t="shared" si="34"/>
        <v>0.88770000000000004</v>
      </c>
      <c r="S20" s="166">
        <f t="shared" si="41"/>
        <v>389825.66454479989</v>
      </c>
      <c r="U20" s="129">
        <f t="shared" si="35"/>
        <v>42309</v>
      </c>
      <c r="V20" s="145">
        <v>1097853060</v>
      </c>
      <c r="W20" s="132">
        <f t="shared" si="36"/>
        <v>91487755</v>
      </c>
      <c r="X20" s="130">
        <v>0.1043</v>
      </c>
      <c r="Y20" s="132">
        <v>3264963.2566666668</v>
      </c>
      <c r="Z20" s="132">
        <f t="shared" si="37"/>
        <v>12807136.103166666</v>
      </c>
      <c r="AA20" s="130">
        <f t="shared" si="38"/>
        <v>0.88770000000000004</v>
      </c>
      <c r="AB20" s="168">
        <f t="shared" si="39"/>
        <v>11368894.71878105</v>
      </c>
      <c r="AD20" s="129">
        <f t="shared" ref="AD20:AD25" si="42">U18</f>
        <v>42248</v>
      </c>
      <c r="AE20" s="132">
        <f>AB18+AB57</f>
        <v>11198944.73467952</v>
      </c>
      <c r="AF20" s="133">
        <v>0</v>
      </c>
      <c r="AG20" s="125">
        <f t="shared" ref="AG20:AG25" si="43">SUM(AE20:AF20)</f>
        <v>11198944.73467952</v>
      </c>
      <c r="AH20" s="134">
        <v>5.4662059785859106E-2</v>
      </c>
      <c r="AI20" s="134">
        <v>9.1612755529391618E-2</v>
      </c>
      <c r="AJ20" s="124">
        <v>4194845</v>
      </c>
      <c r="AK20" s="135">
        <f t="shared" ref="AK20:AK25" si="44">+A18</f>
        <v>42309</v>
      </c>
      <c r="AL20" s="124">
        <v>1990556.09</v>
      </c>
      <c r="AM20" s="124">
        <v>3995282.9199999981</v>
      </c>
      <c r="AN20" s="136">
        <f t="shared" ref="AN20:AN25" si="45">(AJ20+AL20+AM20)-AG20</f>
        <v>-1018260.7246795222</v>
      </c>
      <c r="AO20" s="143"/>
      <c r="AP20"/>
      <c r="AQ20"/>
      <c r="AR20" s="137"/>
      <c r="AS20" s="137"/>
      <c r="AT20" s="137"/>
      <c r="AU20" s="137"/>
      <c r="AV20" s="137"/>
      <c r="AW20" s="137"/>
      <c r="AX20" s="137"/>
      <c r="AY20" s="137"/>
      <c r="BD20" s="103"/>
    </row>
    <row r="21" spans="1:56" x14ac:dyDescent="0.2">
      <c r="A21" s="282">
        <v>42401</v>
      </c>
      <c r="B21" s="283">
        <f t="shared" si="25"/>
        <v>42339</v>
      </c>
      <c r="C21" s="134">
        <v>0.10150000000000001</v>
      </c>
      <c r="D21" s="145">
        <v>1052226585</v>
      </c>
      <c r="E21" s="132">
        <f t="shared" si="26"/>
        <v>1052226585</v>
      </c>
      <c r="F21" s="146">
        <f t="shared" si="27"/>
        <v>0</v>
      </c>
      <c r="G21" s="140">
        <f t="shared" si="28"/>
        <v>0</v>
      </c>
      <c r="H21" s="134">
        <v>0.86360000000000003</v>
      </c>
      <c r="I21" s="148">
        <f t="shared" si="40"/>
        <v>0</v>
      </c>
      <c r="K21" s="282">
        <f t="shared" si="29"/>
        <v>42401</v>
      </c>
      <c r="L21" s="283">
        <f t="shared" si="29"/>
        <v>42339</v>
      </c>
      <c r="M21" s="134">
        <f t="shared" si="29"/>
        <v>0.10150000000000001</v>
      </c>
      <c r="N21" s="134">
        <f t="shared" si="30"/>
        <v>0.1043</v>
      </c>
      <c r="O21" s="134">
        <f t="shared" si="31"/>
        <v>2.7999999999999969E-3</v>
      </c>
      <c r="P21" s="141">
        <f t="shared" si="32"/>
        <v>1052226585</v>
      </c>
      <c r="Q21" s="140">
        <f t="shared" si="33"/>
        <v>245519.53649999973</v>
      </c>
      <c r="R21" s="130">
        <f t="shared" si="34"/>
        <v>0.86360000000000003</v>
      </c>
      <c r="S21" s="166">
        <f t="shared" si="41"/>
        <v>212030.67172139976</v>
      </c>
      <c r="U21" s="129">
        <f t="shared" si="35"/>
        <v>42339</v>
      </c>
      <c r="V21" s="145">
        <v>1052226585</v>
      </c>
      <c r="W21" s="132">
        <f t="shared" si="36"/>
        <v>87685548.75</v>
      </c>
      <c r="X21" s="130">
        <v>0.1043</v>
      </c>
      <c r="Y21" s="132">
        <v>3440741.1366666667</v>
      </c>
      <c r="Z21" s="132">
        <f t="shared" si="37"/>
        <v>12586343.871291667</v>
      </c>
      <c r="AA21" s="130">
        <f t="shared" si="38"/>
        <v>0.86360000000000003</v>
      </c>
      <c r="AB21" s="168">
        <f t="shared" ref="AB21:AB23" si="46">Z21*AA21</f>
        <v>10869566.567247484</v>
      </c>
      <c r="AD21" s="129">
        <f t="shared" si="42"/>
        <v>42278</v>
      </c>
      <c r="AE21" s="132">
        <f t="shared" ref="AE21:AE25" si="47">AB19+AB58</f>
        <v>11471439.77758076</v>
      </c>
      <c r="AF21" s="140">
        <v>0</v>
      </c>
      <c r="AG21" s="132">
        <f t="shared" si="43"/>
        <v>11471439.77758076</v>
      </c>
      <c r="AH21" s="134">
        <v>6.0570699249161863E-2</v>
      </c>
      <c r="AI21" s="134">
        <v>0.10067080860530379</v>
      </c>
      <c r="AJ21" s="132">
        <v>3724595</v>
      </c>
      <c r="AK21" s="135">
        <f t="shared" si="44"/>
        <v>42339</v>
      </c>
      <c r="AL21" s="132">
        <v>2825546.4000000008</v>
      </c>
      <c r="AM21" s="132">
        <v>4271351.2300000004</v>
      </c>
      <c r="AN21" s="142">
        <f t="shared" si="45"/>
        <v>-649947.1475807596</v>
      </c>
      <c r="AO21" s="143"/>
      <c r="AP21"/>
      <c r="AQ21"/>
      <c r="AR21" s="137"/>
      <c r="AS21" s="137"/>
      <c r="AT21" s="137"/>
      <c r="AU21" s="137"/>
      <c r="AV21" s="137"/>
      <c r="AW21" s="137"/>
      <c r="AX21" s="137"/>
      <c r="AY21" s="137"/>
      <c r="BD21" s="103"/>
    </row>
    <row r="22" spans="1:56" x14ac:dyDescent="0.2">
      <c r="A22" s="282">
        <v>42430</v>
      </c>
      <c r="B22" s="283">
        <f t="shared" si="25"/>
        <v>42370</v>
      </c>
      <c r="C22" s="134">
        <v>0.10150000000000001</v>
      </c>
      <c r="D22" s="145">
        <v>1051678109</v>
      </c>
      <c r="E22" s="132">
        <f t="shared" si="26"/>
        <v>1051678109</v>
      </c>
      <c r="F22" s="146">
        <f t="shared" si="27"/>
        <v>0</v>
      </c>
      <c r="G22" s="140">
        <f t="shared" si="28"/>
        <v>0</v>
      </c>
      <c r="H22" s="134">
        <v>0.87670000000000003</v>
      </c>
      <c r="I22" s="148">
        <f t="shared" si="40"/>
        <v>0</v>
      </c>
      <c r="K22" s="282">
        <f t="shared" si="29"/>
        <v>42430</v>
      </c>
      <c r="L22" s="283">
        <f t="shared" si="29"/>
        <v>42370</v>
      </c>
      <c r="M22" s="134">
        <f t="shared" si="29"/>
        <v>0.10150000000000001</v>
      </c>
      <c r="N22" s="134">
        <f t="shared" si="30"/>
        <v>0.1043</v>
      </c>
      <c r="O22" s="134">
        <f t="shared" si="31"/>
        <v>2.7999999999999969E-3</v>
      </c>
      <c r="P22" s="141">
        <f t="shared" si="32"/>
        <v>1051678109</v>
      </c>
      <c r="Q22" s="140">
        <f t="shared" si="33"/>
        <v>245391.55876666642</v>
      </c>
      <c r="R22" s="130">
        <f t="shared" si="34"/>
        <v>0.87670000000000003</v>
      </c>
      <c r="S22" s="166">
        <f t="shared" si="41"/>
        <v>215134.77957073646</v>
      </c>
      <c r="U22" s="129">
        <f t="shared" si="35"/>
        <v>42370</v>
      </c>
      <c r="V22" s="145">
        <v>1051678109</v>
      </c>
      <c r="W22" s="132">
        <f t="shared" si="36"/>
        <v>87639842.416666672</v>
      </c>
      <c r="X22" s="130">
        <v>0.1043</v>
      </c>
      <c r="Y22" s="132">
        <v>3900644.9366666665</v>
      </c>
      <c r="Z22" s="132">
        <f t="shared" si="37"/>
        <v>13041480.500725001</v>
      </c>
      <c r="AA22" s="130">
        <f t="shared" si="38"/>
        <v>0.87670000000000003</v>
      </c>
      <c r="AB22" s="168">
        <f t="shared" si="46"/>
        <v>11433465.954985609</v>
      </c>
      <c r="AD22" s="129">
        <f t="shared" si="42"/>
        <v>42309</v>
      </c>
      <c r="AE22" s="132">
        <f t="shared" si="47"/>
        <v>11368894.71878105</v>
      </c>
      <c r="AF22" s="140">
        <v>0</v>
      </c>
      <c r="AG22" s="132">
        <f t="shared" si="43"/>
        <v>11368894.71878105</v>
      </c>
      <c r="AH22" s="134">
        <v>6.0896003615675695E-2</v>
      </c>
      <c r="AI22" s="134">
        <v>0.10080314316715179</v>
      </c>
      <c r="AJ22" s="132">
        <v>3534299</v>
      </c>
      <c r="AK22" s="135">
        <f t="shared" si="44"/>
        <v>42370</v>
      </c>
      <c r="AL22" s="132">
        <v>3673795.93</v>
      </c>
      <c r="AM22" s="132">
        <v>4361169.74</v>
      </c>
      <c r="AN22" s="142">
        <f t="shared" si="45"/>
        <v>200369.95121894963</v>
      </c>
      <c r="AO22" s="143"/>
      <c r="AP22"/>
      <c r="AQ22"/>
      <c r="AR22" s="153"/>
      <c r="BD22" s="103"/>
    </row>
    <row r="23" spans="1:56" x14ac:dyDescent="0.2">
      <c r="A23" s="282">
        <v>42461</v>
      </c>
      <c r="B23" s="283">
        <f t="shared" si="25"/>
        <v>42401</v>
      </c>
      <c r="C23" s="134">
        <v>0.10150000000000001</v>
      </c>
      <c r="D23" s="145">
        <v>1053242091</v>
      </c>
      <c r="E23" s="132">
        <f t="shared" si="26"/>
        <v>1053242091</v>
      </c>
      <c r="F23" s="146">
        <f t="shared" si="27"/>
        <v>0</v>
      </c>
      <c r="G23" s="144">
        <f t="shared" si="28"/>
        <v>0</v>
      </c>
      <c r="H23" s="134">
        <v>0.87980000000000003</v>
      </c>
      <c r="I23" s="172">
        <f t="shared" si="40"/>
        <v>0</v>
      </c>
      <c r="K23" s="282">
        <f t="shared" si="29"/>
        <v>42461</v>
      </c>
      <c r="L23" s="283">
        <f t="shared" si="29"/>
        <v>42401</v>
      </c>
      <c r="M23" s="134">
        <f t="shared" si="29"/>
        <v>0.10150000000000001</v>
      </c>
      <c r="N23" s="134">
        <f t="shared" si="30"/>
        <v>0.1043</v>
      </c>
      <c r="O23" s="134">
        <f t="shared" si="31"/>
        <v>2.7999999999999969E-3</v>
      </c>
      <c r="P23" s="141">
        <f t="shared" si="32"/>
        <v>1053242091</v>
      </c>
      <c r="Q23" s="144">
        <f t="shared" si="33"/>
        <v>245756.48789999972</v>
      </c>
      <c r="R23" s="130">
        <f t="shared" si="34"/>
        <v>0.87980000000000003</v>
      </c>
      <c r="S23" s="175">
        <f t="shared" si="41"/>
        <v>216216.55805441976</v>
      </c>
      <c r="U23" s="129">
        <f t="shared" si="35"/>
        <v>42401</v>
      </c>
      <c r="V23" s="145">
        <v>1053242091</v>
      </c>
      <c r="W23" s="132">
        <f t="shared" si="36"/>
        <v>87770174.25</v>
      </c>
      <c r="X23" s="130">
        <v>0.1043</v>
      </c>
      <c r="Y23" s="132">
        <v>4307045.0566666666</v>
      </c>
      <c r="Z23" s="132">
        <f t="shared" si="37"/>
        <v>13461474.230941666</v>
      </c>
      <c r="AA23" s="130">
        <f t="shared" si="38"/>
        <v>0.87980000000000003</v>
      </c>
      <c r="AB23" s="168">
        <f t="shared" si="46"/>
        <v>11843405.028382478</v>
      </c>
      <c r="AD23" s="129">
        <f t="shared" si="42"/>
        <v>42339</v>
      </c>
      <c r="AE23" s="132">
        <f t="shared" si="47"/>
        <v>10869566.567247484</v>
      </c>
      <c r="AF23" s="140">
        <v>701452</v>
      </c>
      <c r="AG23" s="132">
        <f t="shared" si="43"/>
        <v>11571018.567247484</v>
      </c>
      <c r="AH23" s="134">
        <v>6.1273717590506732E-2</v>
      </c>
      <c r="AI23" s="134">
        <v>0.10045057281921989</v>
      </c>
      <c r="AJ23" s="132">
        <v>3959222</v>
      </c>
      <c r="AK23" s="135">
        <f t="shared" si="44"/>
        <v>42401</v>
      </c>
      <c r="AL23" s="132">
        <v>3982153.0600000019</v>
      </c>
      <c r="AM23" s="132">
        <v>4936460.97</v>
      </c>
      <c r="AN23" s="142">
        <f t="shared" si="45"/>
        <v>1306817.4627525173</v>
      </c>
      <c r="AO23" s="143"/>
      <c r="AP23"/>
      <c r="AQ23"/>
      <c r="AR23" s="153"/>
      <c r="BD23" s="103"/>
    </row>
    <row r="24" spans="1:56" x14ac:dyDescent="0.2">
      <c r="A24" s="282"/>
      <c r="B24" s="283"/>
      <c r="C24" s="134"/>
      <c r="D24" s="145"/>
      <c r="E24" s="132"/>
      <c r="F24" s="132"/>
      <c r="G24" s="146">
        <f>SUM(G18:G23)</f>
        <v>0</v>
      </c>
      <c r="H24" s="134"/>
      <c r="I24" s="148">
        <f>SUM(I18:I23)</f>
        <v>0</v>
      </c>
      <c r="K24" s="282"/>
      <c r="L24" s="283"/>
      <c r="M24" s="147"/>
      <c r="N24" s="147"/>
      <c r="O24" s="147"/>
      <c r="P24" s="147"/>
      <c r="Q24" s="146">
        <f>SUM(Q18:Q23)</f>
        <v>2043374.3615666656</v>
      </c>
      <c r="R24" s="147"/>
      <c r="S24" s="148">
        <f>SUM(S18:S23)</f>
        <v>1800804.9103054355</v>
      </c>
      <c r="U24" s="149"/>
      <c r="V24" s="132"/>
      <c r="W24" s="147"/>
      <c r="X24" s="147"/>
      <c r="Y24" s="147"/>
      <c r="Z24" s="147"/>
      <c r="AA24" s="147"/>
      <c r="AB24" s="131"/>
      <c r="AD24" s="129">
        <f t="shared" si="42"/>
        <v>42370</v>
      </c>
      <c r="AE24" s="132">
        <f t="shared" si="47"/>
        <v>11433465.954985609</v>
      </c>
      <c r="AF24" s="140">
        <v>0</v>
      </c>
      <c r="AG24" s="132">
        <f t="shared" si="43"/>
        <v>11433465.954985609</v>
      </c>
      <c r="AH24" s="134">
        <v>5.6408227659657209E-2</v>
      </c>
      <c r="AI24" s="134">
        <v>9.1289871847542031E-2</v>
      </c>
      <c r="AJ24" s="132">
        <v>4490642</v>
      </c>
      <c r="AK24" s="135">
        <f t="shared" si="44"/>
        <v>42430</v>
      </c>
      <c r="AL24" s="132">
        <v>3012921.2</v>
      </c>
      <c r="AM24" s="132">
        <v>4457719.4499999993</v>
      </c>
      <c r="AN24" s="142">
        <f t="shared" si="45"/>
        <v>527816.69501438923</v>
      </c>
      <c r="AO24" s="143"/>
      <c r="AP24"/>
      <c r="AQ24"/>
      <c r="AR24" s="153"/>
      <c r="BD24" s="103"/>
    </row>
    <row r="25" spans="1:56" x14ac:dyDescent="0.2">
      <c r="A25" s="282"/>
      <c r="B25" s="283"/>
      <c r="C25" s="134"/>
      <c r="D25" s="145"/>
      <c r="E25" s="132"/>
      <c r="F25" s="132"/>
      <c r="G25" s="132"/>
      <c r="H25" s="134"/>
      <c r="I25" s="131"/>
      <c r="K25" s="282"/>
      <c r="L25" s="283"/>
      <c r="M25" s="134"/>
      <c r="N25" s="134"/>
      <c r="O25" s="134"/>
      <c r="P25" s="141"/>
      <c r="Q25" s="141"/>
      <c r="R25" s="130"/>
      <c r="S25" s="131"/>
      <c r="U25" s="149"/>
      <c r="V25" s="147"/>
      <c r="W25" s="147"/>
      <c r="X25" s="147"/>
      <c r="Y25" s="147"/>
      <c r="Z25" s="147"/>
      <c r="AA25" s="147"/>
      <c r="AB25" s="131"/>
      <c r="AD25" s="129">
        <f t="shared" si="42"/>
        <v>42401</v>
      </c>
      <c r="AE25" s="132">
        <f t="shared" si="47"/>
        <v>11843405.028382478</v>
      </c>
      <c r="AF25" s="140">
        <v>0</v>
      </c>
      <c r="AG25" s="132">
        <f t="shared" si="43"/>
        <v>11843405.028382478</v>
      </c>
      <c r="AH25" s="134">
        <v>1.512910802636753E-2</v>
      </c>
      <c r="AI25" s="134">
        <v>2.4185738784286037E-2</v>
      </c>
      <c r="AJ25" s="132">
        <v>9820562</v>
      </c>
      <c r="AK25" s="135">
        <f t="shared" si="44"/>
        <v>42461</v>
      </c>
      <c r="AL25" s="132">
        <v>657436.79000000027</v>
      </c>
      <c r="AM25" s="132">
        <v>1560159.5999999999</v>
      </c>
      <c r="AN25" s="142">
        <f t="shared" si="45"/>
        <v>194753.36161752231</v>
      </c>
      <c r="AO25" s="143"/>
      <c r="AP25"/>
      <c r="AQ25"/>
      <c r="BD25" s="103"/>
    </row>
    <row r="26" spans="1:56" x14ac:dyDescent="0.2">
      <c r="A26" s="282">
        <v>42491</v>
      </c>
      <c r="B26" s="283">
        <f t="shared" ref="B26:B31" si="48">EDATE(A26,-2)</f>
        <v>42430</v>
      </c>
      <c r="C26" s="134">
        <v>0.10299999999999999</v>
      </c>
      <c r="D26" s="124">
        <v>1057893623</v>
      </c>
      <c r="E26" s="125">
        <f t="shared" ref="E26:E31" si="49">V26</f>
        <v>1057893623</v>
      </c>
      <c r="F26" s="146">
        <f t="shared" ref="F26:F31" si="50">(E26-D26)</f>
        <v>0</v>
      </c>
      <c r="G26" s="133">
        <f t="shared" ref="G26:G31" si="51">(C26*F26)/12</f>
        <v>0</v>
      </c>
      <c r="H26" s="134">
        <v>0.88270000000000004</v>
      </c>
      <c r="I26" s="148">
        <f>G26*H26</f>
        <v>0</v>
      </c>
      <c r="K26" s="282">
        <f t="shared" ref="K26:M31" si="52">A26</f>
        <v>42491</v>
      </c>
      <c r="L26" s="283">
        <f t="shared" si="52"/>
        <v>42430</v>
      </c>
      <c r="M26" s="134">
        <f t="shared" si="52"/>
        <v>0.10299999999999999</v>
      </c>
      <c r="N26" s="134">
        <f t="shared" ref="N26:N31" si="53">+X26</f>
        <v>0.1057</v>
      </c>
      <c r="O26" s="134">
        <f t="shared" ref="O26:O31" si="54">N26-M26</f>
        <v>2.7000000000000079E-3</v>
      </c>
      <c r="P26" s="125">
        <f t="shared" ref="P26:P31" si="55">V26</f>
        <v>1057893623</v>
      </c>
      <c r="Q26" s="152">
        <f t="shared" ref="Q26:Q31" si="56">(O26*P26)/12</f>
        <v>238026.06517500069</v>
      </c>
      <c r="R26" s="130">
        <f t="shared" ref="R26:R31" si="57">H26</f>
        <v>0.88270000000000004</v>
      </c>
      <c r="S26" s="166">
        <f>R26*Q26</f>
        <v>210105.60772997313</v>
      </c>
      <c r="U26" s="129">
        <f t="shared" ref="U26:U31" si="58">L26</f>
        <v>42430</v>
      </c>
      <c r="V26" s="124">
        <v>1057893623</v>
      </c>
      <c r="W26" s="125">
        <f t="shared" ref="W26:W31" si="59">V26/12</f>
        <v>88157801.916666672</v>
      </c>
      <c r="X26" s="130">
        <v>0.1057</v>
      </c>
      <c r="Y26" s="124">
        <v>4134900.8466666667</v>
      </c>
      <c r="Z26" s="125">
        <f t="shared" ref="Z26:Z31" si="60">(W26*X26)+Y26</f>
        <v>13453180.509258334</v>
      </c>
      <c r="AA26" s="130">
        <f t="shared" ref="AA26:AA31" si="61">R26</f>
        <v>0.88270000000000004</v>
      </c>
      <c r="AB26" s="166">
        <f t="shared" ref="AB26:AB31" si="62">Z26*AA26</f>
        <v>11875122.435522331</v>
      </c>
      <c r="AD26" s="149"/>
      <c r="AE26" s="147"/>
      <c r="AF26" s="147"/>
      <c r="AG26" s="150">
        <f>SUM(AG20:AG25)</f>
        <v>68887168.781656891</v>
      </c>
      <c r="AH26" s="147"/>
      <c r="AI26" s="147"/>
      <c r="AJ26" s="150">
        <f>SUM(AJ20:AJ25)</f>
        <v>29724165</v>
      </c>
      <c r="AK26" s="147"/>
      <c r="AL26" s="150">
        <f>SUM(AL20:AL25)</f>
        <v>16142409.470000004</v>
      </c>
      <c r="AM26" s="150">
        <f>SUM(AM20:AM25)</f>
        <v>23582143.91</v>
      </c>
      <c r="AN26" s="151">
        <f>SUM(AN20:AN25)</f>
        <v>561549.59834309667</v>
      </c>
      <c r="AO26" s="143"/>
      <c r="AP26"/>
      <c r="AQ26"/>
      <c r="AR26" s="137"/>
      <c r="AS26" s="137"/>
      <c r="AT26" s="137"/>
      <c r="AU26" s="137"/>
      <c r="AV26" s="137"/>
      <c r="AW26" s="137"/>
      <c r="AX26" s="137"/>
      <c r="AY26" s="137"/>
      <c r="BD26" s="103"/>
    </row>
    <row r="27" spans="1:56" x14ac:dyDescent="0.2">
      <c r="A27" s="282">
        <v>42522</v>
      </c>
      <c r="B27" s="283">
        <f t="shared" si="48"/>
        <v>42461</v>
      </c>
      <c r="C27" s="134">
        <v>0.10299999999999999</v>
      </c>
      <c r="D27" s="132">
        <v>1061081505</v>
      </c>
      <c r="E27" s="141">
        <f t="shared" si="49"/>
        <v>1061081505</v>
      </c>
      <c r="F27" s="146">
        <f t="shared" si="50"/>
        <v>0</v>
      </c>
      <c r="G27" s="140">
        <f t="shared" si="51"/>
        <v>0</v>
      </c>
      <c r="H27" s="134">
        <v>0.87770000000000004</v>
      </c>
      <c r="I27" s="148">
        <f t="shared" ref="I27:I31" si="63">G27*H27</f>
        <v>0</v>
      </c>
      <c r="K27" s="282">
        <f t="shared" si="52"/>
        <v>42522</v>
      </c>
      <c r="L27" s="283">
        <f t="shared" si="52"/>
        <v>42461</v>
      </c>
      <c r="M27" s="134">
        <f t="shared" si="52"/>
        <v>0.10299999999999999</v>
      </c>
      <c r="N27" s="134">
        <f t="shared" si="53"/>
        <v>0.1057</v>
      </c>
      <c r="O27" s="134">
        <f t="shared" si="54"/>
        <v>2.7000000000000079E-3</v>
      </c>
      <c r="P27" s="141">
        <f t="shared" si="55"/>
        <v>1061081505</v>
      </c>
      <c r="Q27" s="140">
        <f t="shared" si="56"/>
        <v>238743.3386250007</v>
      </c>
      <c r="R27" s="130">
        <f t="shared" si="57"/>
        <v>0.87770000000000004</v>
      </c>
      <c r="S27" s="166">
        <f t="shared" ref="S27:S31" si="64">R27*Q27</f>
        <v>209545.02831116313</v>
      </c>
      <c r="U27" s="129">
        <f t="shared" si="58"/>
        <v>42461</v>
      </c>
      <c r="V27" s="132">
        <v>1061081505</v>
      </c>
      <c r="W27" s="132">
        <f t="shared" si="59"/>
        <v>88423458.75</v>
      </c>
      <c r="X27" s="130">
        <v>0.1057</v>
      </c>
      <c r="Y27" s="132">
        <v>3870960.1966666668</v>
      </c>
      <c r="Z27" s="132">
        <f t="shared" si="60"/>
        <v>13217319.786541667</v>
      </c>
      <c r="AA27" s="130">
        <f t="shared" si="61"/>
        <v>0.87770000000000004</v>
      </c>
      <c r="AB27" s="168">
        <f t="shared" si="62"/>
        <v>11600841.576647621</v>
      </c>
      <c r="AD27" s="149"/>
      <c r="AE27" s="147"/>
      <c r="AF27" s="147"/>
      <c r="AG27" s="154"/>
      <c r="AH27" s="154"/>
      <c r="AI27" s="154"/>
      <c r="AJ27" s="154"/>
      <c r="AK27" s="154"/>
      <c r="AL27" s="154"/>
      <c r="AM27" s="94" t="s">
        <v>124</v>
      </c>
      <c r="AN27" s="155">
        <v>561550</v>
      </c>
      <c r="AO27" s="143"/>
      <c r="AP27"/>
      <c r="AQ27"/>
      <c r="AR27" s="137"/>
      <c r="AS27" s="137"/>
      <c r="AT27" s="137"/>
      <c r="AU27" s="137"/>
      <c r="AV27" s="137"/>
      <c r="AW27" s="137"/>
      <c r="AX27" s="137"/>
      <c r="AY27" s="137"/>
      <c r="BD27" s="103"/>
    </row>
    <row r="28" spans="1:56" x14ac:dyDescent="0.2">
      <c r="A28" s="282">
        <v>42552</v>
      </c>
      <c r="B28" s="283">
        <f t="shared" si="48"/>
        <v>42491</v>
      </c>
      <c r="C28" s="134">
        <v>0.10299999999999999</v>
      </c>
      <c r="D28" s="132">
        <v>1062866985</v>
      </c>
      <c r="E28" s="132">
        <f t="shared" si="49"/>
        <v>1062866985</v>
      </c>
      <c r="F28" s="146">
        <f t="shared" si="50"/>
        <v>0</v>
      </c>
      <c r="G28" s="140">
        <f t="shared" si="51"/>
        <v>0</v>
      </c>
      <c r="H28" s="134">
        <v>0.86539999999999995</v>
      </c>
      <c r="I28" s="148">
        <f t="shared" si="63"/>
        <v>0</v>
      </c>
      <c r="K28" s="282">
        <f t="shared" si="52"/>
        <v>42552</v>
      </c>
      <c r="L28" s="283">
        <f t="shared" si="52"/>
        <v>42491</v>
      </c>
      <c r="M28" s="134">
        <f t="shared" si="52"/>
        <v>0.10299999999999999</v>
      </c>
      <c r="N28" s="134">
        <f t="shared" si="53"/>
        <v>0.1057</v>
      </c>
      <c r="O28" s="134">
        <f t="shared" si="54"/>
        <v>2.7000000000000079E-3</v>
      </c>
      <c r="P28" s="141">
        <f t="shared" si="55"/>
        <v>1062866985</v>
      </c>
      <c r="Q28" s="140">
        <f t="shared" si="56"/>
        <v>239145.07162500071</v>
      </c>
      <c r="R28" s="130">
        <f t="shared" si="57"/>
        <v>0.86539999999999995</v>
      </c>
      <c r="S28" s="166">
        <f t="shared" si="64"/>
        <v>206956.1449842756</v>
      </c>
      <c r="U28" s="129">
        <f t="shared" si="58"/>
        <v>42491</v>
      </c>
      <c r="V28" s="132">
        <v>1062866985</v>
      </c>
      <c r="W28" s="132">
        <f t="shared" si="59"/>
        <v>88572248.75</v>
      </c>
      <c r="X28" s="130">
        <v>0.1057</v>
      </c>
      <c r="Y28" s="132">
        <v>3953251.7966666669</v>
      </c>
      <c r="Z28" s="132">
        <f t="shared" si="60"/>
        <v>13315338.489541667</v>
      </c>
      <c r="AA28" s="130">
        <f t="shared" si="61"/>
        <v>0.86539999999999995</v>
      </c>
      <c r="AB28" s="168">
        <f t="shared" si="62"/>
        <v>11523093.928849358</v>
      </c>
      <c r="AD28" s="149"/>
      <c r="AE28" s="147"/>
      <c r="AF28" s="147"/>
      <c r="AG28" s="154"/>
      <c r="AH28" s="154"/>
      <c r="AI28" s="154"/>
      <c r="AJ28" s="154"/>
      <c r="AK28" s="154"/>
      <c r="AL28" s="154"/>
      <c r="AM28" s="154"/>
      <c r="AN28" s="157">
        <f>AN26-AN27</f>
        <v>-0.40165690332651138</v>
      </c>
      <c r="AO28" s="143"/>
      <c r="AP28"/>
      <c r="AQ28"/>
      <c r="AR28" s="137"/>
      <c r="AS28" s="137"/>
      <c r="AT28" s="137"/>
      <c r="AU28" s="137"/>
      <c r="AV28" s="137"/>
      <c r="AW28" s="137"/>
      <c r="AX28" s="137"/>
      <c r="AY28" s="137"/>
      <c r="BD28" s="103"/>
    </row>
    <row r="29" spans="1:56" x14ac:dyDescent="0.2">
      <c r="A29" s="282">
        <v>42583</v>
      </c>
      <c r="B29" s="283">
        <f t="shared" si="48"/>
        <v>42522</v>
      </c>
      <c r="C29" s="134">
        <v>0.10299999999999999</v>
      </c>
      <c r="D29" s="132">
        <v>1065221533</v>
      </c>
      <c r="E29" s="132">
        <f t="shared" si="49"/>
        <v>1065221558</v>
      </c>
      <c r="F29" s="146">
        <f t="shared" si="50"/>
        <v>25</v>
      </c>
      <c r="G29" s="140">
        <f t="shared" si="51"/>
        <v>0.21458333333333332</v>
      </c>
      <c r="H29" s="134">
        <v>0.87209999999999999</v>
      </c>
      <c r="I29" s="148">
        <f t="shared" si="63"/>
        <v>0.18713812499999999</v>
      </c>
      <c r="K29" s="282">
        <f t="shared" si="52"/>
        <v>42583</v>
      </c>
      <c r="L29" s="283">
        <f t="shared" si="52"/>
        <v>42522</v>
      </c>
      <c r="M29" s="134">
        <f t="shared" si="52"/>
        <v>0.10299999999999999</v>
      </c>
      <c r="N29" s="134">
        <f t="shared" si="53"/>
        <v>0.1057</v>
      </c>
      <c r="O29" s="134">
        <f t="shared" si="54"/>
        <v>2.7000000000000079E-3</v>
      </c>
      <c r="P29" s="141">
        <f t="shared" si="55"/>
        <v>1065221558</v>
      </c>
      <c r="Q29" s="140">
        <f t="shared" si="56"/>
        <v>239674.8505500007</v>
      </c>
      <c r="R29" s="130">
        <f t="shared" si="57"/>
        <v>0.87209999999999999</v>
      </c>
      <c r="S29" s="166">
        <f t="shared" si="64"/>
        <v>209020.4371646556</v>
      </c>
      <c r="U29" s="129">
        <f t="shared" si="58"/>
        <v>42522</v>
      </c>
      <c r="V29" s="132">
        <v>1065221558</v>
      </c>
      <c r="W29" s="132">
        <f t="shared" si="59"/>
        <v>88768463.166666672</v>
      </c>
      <c r="X29" s="130">
        <v>0.1057</v>
      </c>
      <c r="Y29" s="132">
        <v>4071440.8566666665</v>
      </c>
      <c r="Z29" s="132">
        <f t="shared" si="60"/>
        <v>13454267.413383335</v>
      </c>
      <c r="AA29" s="130">
        <f t="shared" si="61"/>
        <v>0.87209999999999999</v>
      </c>
      <c r="AB29" s="168">
        <f t="shared" si="62"/>
        <v>11733466.611211605</v>
      </c>
      <c r="AD29" s="149"/>
      <c r="AE29" s="147"/>
      <c r="AF29" s="147"/>
      <c r="AG29" s="147"/>
      <c r="AH29" s="147"/>
      <c r="AI29" s="147"/>
      <c r="AJ29" s="147"/>
      <c r="AK29" s="147"/>
      <c r="AL29" s="147"/>
      <c r="AM29" s="147"/>
      <c r="AN29" s="131"/>
      <c r="AO29" s="143"/>
      <c r="AP29"/>
      <c r="AQ29"/>
      <c r="AR29" s="137"/>
      <c r="AS29" s="137"/>
      <c r="AT29" s="137"/>
      <c r="AU29" s="137"/>
      <c r="AV29" s="137"/>
      <c r="AW29" s="137"/>
      <c r="AX29" s="137"/>
      <c r="AY29" s="137"/>
      <c r="BD29" s="103"/>
    </row>
    <row r="30" spans="1:56" x14ac:dyDescent="0.2">
      <c r="A30" s="282">
        <v>42614</v>
      </c>
      <c r="B30" s="283">
        <f t="shared" si="48"/>
        <v>42552</v>
      </c>
      <c r="C30" s="134">
        <v>0.10299999999999999</v>
      </c>
      <c r="D30" s="132">
        <v>1064056662</v>
      </c>
      <c r="E30" s="132">
        <f t="shared" si="49"/>
        <v>1064056687</v>
      </c>
      <c r="F30" s="146">
        <f t="shared" si="50"/>
        <v>25</v>
      </c>
      <c r="G30" s="140">
        <f t="shared" si="51"/>
        <v>0.21458333333333332</v>
      </c>
      <c r="H30" s="134">
        <v>0.87360000000000004</v>
      </c>
      <c r="I30" s="148">
        <f t="shared" si="63"/>
        <v>0.18745999999999999</v>
      </c>
      <c r="K30" s="282">
        <f t="shared" si="52"/>
        <v>42614</v>
      </c>
      <c r="L30" s="283">
        <f t="shared" si="52"/>
        <v>42552</v>
      </c>
      <c r="M30" s="134">
        <f t="shared" si="52"/>
        <v>0.10299999999999999</v>
      </c>
      <c r="N30" s="134">
        <f t="shared" si="53"/>
        <v>0.1057</v>
      </c>
      <c r="O30" s="134">
        <f t="shared" si="54"/>
        <v>2.7000000000000079E-3</v>
      </c>
      <c r="P30" s="141">
        <f t="shared" si="55"/>
        <v>1064056687</v>
      </c>
      <c r="Q30" s="140">
        <f t="shared" si="56"/>
        <v>239412.7545750007</v>
      </c>
      <c r="R30" s="130">
        <f t="shared" si="57"/>
        <v>0.87360000000000004</v>
      </c>
      <c r="S30" s="166">
        <f t="shared" si="64"/>
        <v>209150.98239672062</v>
      </c>
      <c r="U30" s="129">
        <f t="shared" si="58"/>
        <v>42552</v>
      </c>
      <c r="V30" s="132">
        <v>1064056687</v>
      </c>
      <c r="W30" s="132">
        <f t="shared" si="59"/>
        <v>88671390.583333328</v>
      </c>
      <c r="X30" s="130">
        <v>0.1057</v>
      </c>
      <c r="Y30" s="132">
        <v>4525365.0766666671</v>
      </c>
      <c r="Z30" s="132">
        <f t="shared" si="60"/>
        <v>13897931.061324999</v>
      </c>
      <c r="AA30" s="130">
        <f t="shared" si="61"/>
        <v>0.87360000000000004</v>
      </c>
      <c r="AB30" s="168">
        <f t="shared" si="62"/>
        <v>12141232.57517352</v>
      </c>
      <c r="AD30" s="129">
        <f t="shared" ref="AD30:AD35" si="65">U26</f>
        <v>42430</v>
      </c>
      <c r="AE30" s="132">
        <f>AB26+AB65</f>
        <v>11875122.435522331</v>
      </c>
      <c r="AF30" s="133">
        <v>654866</v>
      </c>
      <c r="AG30" s="125">
        <f t="shared" ref="AG30:AG35" si="66">SUM(AE30:AF30)</f>
        <v>12529988.435522331</v>
      </c>
      <c r="AH30" s="134">
        <v>2.769198632263584E-2</v>
      </c>
      <c r="AI30" s="134">
        <v>4.3718952261900132E-2</v>
      </c>
      <c r="AJ30" s="124">
        <v>9055633</v>
      </c>
      <c r="AK30" s="135">
        <f t="shared" ref="AK30:AK35" si="67">+A26</f>
        <v>42491</v>
      </c>
      <c r="AL30" s="124">
        <v>969903.98999999987</v>
      </c>
      <c r="AM30" s="124">
        <v>1869192.5499999991</v>
      </c>
      <c r="AN30" s="136">
        <f t="shared" ref="AN30:AN35" si="68">(AJ30+AL30+AM30)-AG30</f>
        <v>-635258.89552233182</v>
      </c>
      <c r="AO30" s="143"/>
      <c r="AP30"/>
      <c r="AQ30"/>
      <c r="AR30" s="153"/>
      <c r="BD30" s="103"/>
    </row>
    <row r="31" spans="1:56" x14ac:dyDescent="0.2">
      <c r="A31" s="282">
        <v>42644</v>
      </c>
      <c r="B31" s="283">
        <f t="shared" si="48"/>
        <v>42583</v>
      </c>
      <c r="C31" s="134">
        <v>0.10299999999999999</v>
      </c>
      <c r="D31" s="132">
        <v>1063106112</v>
      </c>
      <c r="E31" s="132">
        <f t="shared" si="49"/>
        <v>1063106137</v>
      </c>
      <c r="F31" s="146">
        <f t="shared" si="50"/>
        <v>25</v>
      </c>
      <c r="G31" s="144">
        <f t="shared" si="51"/>
        <v>0.21458333333333332</v>
      </c>
      <c r="H31" s="134">
        <v>0.87890000000000001</v>
      </c>
      <c r="I31" s="172">
        <f t="shared" si="63"/>
        <v>0.18859729166666667</v>
      </c>
      <c r="K31" s="282">
        <f t="shared" si="52"/>
        <v>42644</v>
      </c>
      <c r="L31" s="283">
        <f t="shared" si="52"/>
        <v>42583</v>
      </c>
      <c r="M31" s="134">
        <f t="shared" si="52"/>
        <v>0.10299999999999999</v>
      </c>
      <c r="N31" s="134">
        <f t="shared" si="53"/>
        <v>0.1057</v>
      </c>
      <c r="O31" s="134">
        <f t="shared" si="54"/>
        <v>2.7000000000000079E-3</v>
      </c>
      <c r="P31" s="141">
        <f t="shared" si="55"/>
        <v>1063106137</v>
      </c>
      <c r="Q31" s="144">
        <f t="shared" si="56"/>
        <v>239198.8808250007</v>
      </c>
      <c r="R31" s="130">
        <f t="shared" si="57"/>
        <v>0.87890000000000001</v>
      </c>
      <c r="S31" s="175">
        <f t="shared" si="64"/>
        <v>210231.89635709312</v>
      </c>
      <c r="U31" s="129">
        <f t="shared" si="58"/>
        <v>42583</v>
      </c>
      <c r="V31" s="132">
        <v>1063106137</v>
      </c>
      <c r="W31" s="132">
        <f t="shared" si="59"/>
        <v>88592178.083333328</v>
      </c>
      <c r="X31" s="130">
        <v>0.1057</v>
      </c>
      <c r="Y31" s="132">
        <v>4741326.5366666671</v>
      </c>
      <c r="Z31" s="132">
        <f t="shared" si="60"/>
        <v>14105519.760074999</v>
      </c>
      <c r="AA31" s="130">
        <f t="shared" si="61"/>
        <v>0.87890000000000001</v>
      </c>
      <c r="AB31" s="168">
        <f t="shared" si="62"/>
        <v>12397341.317129917</v>
      </c>
      <c r="AD31" s="129">
        <f t="shared" si="65"/>
        <v>42461</v>
      </c>
      <c r="AE31" s="132">
        <f t="shared" ref="AE31:AE35" si="69">AB27+AB66</f>
        <v>11600841.576647621</v>
      </c>
      <c r="AF31" s="140">
        <v>654866</v>
      </c>
      <c r="AG31" s="132">
        <f t="shared" si="66"/>
        <v>12255707.576647621</v>
      </c>
      <c r="AH31" s="134">
        <v>3.4359159450882193E-2</v>
      </c>
      <c r="AI31" s="134">
        <v>5.3673999932759245E-2</v>
      </c>
      <c r="AJ31" s="132">
        <v>7982713</v>
      </c>
      <c r="AK31" s="135">
        <f t="shared" si="67"/>
        <v>42522</v>
      </c>
      <c r="AL31" s="132">
        <v>1564286.879999999</v>
      </c>
      <c r="AM31" s="132">
        <v>2636007.83</v>
      </c>
      <c r="AN31" s="142">
        <f t="shared" si="68"/>
        <v>-72699.866647621617</v>
      </c>
      <c r="AO31" s="143"/>
      <c r="AP31"/>
      <c r="AQ31"/>
      <c r="AR31" s="153"/>
      <c r="BD31" s="103"/>
    </row>
    <row r="32" spans="1:56" x14ac:dyDescent="0.2">
      <c r="A32" s="282"/>
      <c r="B32" s="283"/>
      <c r="C32" s="134"/>
      <c r="D32" s="145"/>
      <c r="E32" s="132"/>
      <c r="F32" s="132"/>
      <c r="G32" s="146">
        <f>SUM(G26:G31)</f>
        <v>0.64374999999999993</v>
      </c>
      <c r="H32" s="134"/>
      <c r="I32" s="148">
        <f>SUM(I26:I31)</f>
        <v>0.56319541666666662</v>
      </c>
      <c r="K32" s="282"/>
      <c r="L32" s="283"/>
      <c r="M32" s="147"/>
      <c r="N32" s="147"/>
      <c r="O32" s="147"/>
      <c r="P32" s="147"/>
      <c r="Q32" s="146">
        <f>SUM(Q26:Q31)</f>
        <v>1434200.9613750041</v>
      </c>
      <c r="R32" s="147"/>
      <c r="S32" s="148">
        <f>SUM(S26:S31)</f>
        <v>1255010.0969438814</v>
      </c>
      <c r="U32" s="149"/>
      <c r="V32" s="132"/>
      <c r="W32" s="147"/>
      <c r="X32" s="147"/>
      <c r="Y32" s="147"/>
      <c r="Z32" s="147"/>
      <c r="AA32" s="147"/>
      <c r="AB32" s="131"/>
      <c r="AD32" s="129">
        <f t="shared" si="65"/>
        <v>42491</v>
      </c>
      <c r="AE32" s="132">
        <f t="shared" si="69"/>
        <v>11523093.928849358</v>
      </c>
      <c r="AF32" s="140">
        <v>0</v>
      </c>
      <c r="AG32" s="132">
        <f t="shared" si="66"/>
        <v>11523093.928849358</v>
      </c>
      <c r="AH32" s="134">
        <v>3.2802347859773692E-2</v>
      </c>
      <c r="AI32" s="134">
        <v>5.0658833945190711E-2</v>
      </c>
      <c r="AJ32" s="132">
        <v>7432194</v>
      </c>
      <c r="AK32" s="135">
        <f t="shared" si="67"/>
        <v>42552</v>
      </c>
      <c r="AL32" s="132">
        <v>1790401.5400000005</v>
      </c>
      <c r="AM32" s="132">
        <v>2685906.39</v>
      </c>
      <c r="AN32" s="142">
        <f t="shared" si="68"/>
        <v>385408.00115064345</v>
      </c>
      <c r="AO32" s="143"/>
      <c r="AP32"/>
      <c r="AQ32"/>
      <c r="AR32" s="153"/>
      <c r="BD32" s="103"/>
    </row>
    <row r="33" spans="1:58" x14ac:dyDescent="0.2">
      <c r="A33" s="282"/>
      <c r="B33" s="283"/>
      <c r="C33" s="134"/>
      <c r="D33" s="145"/>
      <c r="E33" s="132"/>
      <c r="F33" s="132"/>
      <c r="G33" s="132"/>
      <c r="H33" s="134"/>
      <c r="I33" s="131"/>
      <c r="K33" s="282"/>
      <c r="L33" s="283"/>
      <c r="M33" s="134"/>
      <c r="N33" s="134"/>
      <c r="O33" s="134"/>
      <c r="P33" s="141"/>
      <c r="Q33" s="141"/>
      <c r="R33" s="130"/>
      <c r="S33" s="131"/>
      <c r="U33" s="149"/>
      <c r="V33" s="132"/>
      <c r="W33" s="147"/>
      <c r="X33" s="147"/>
      <c r="Y33" s="147"/>
      <c r="Z33" s="147"/>
      <c r="AA33" s="147"/>
      <c r="AB33" s="131"/>
      <c r="AD33" s="129">
        <f t="shared" si="65"/>
        <v>42522</v>
      </c>
      <c r="AE33" s="132">
        <f t="shared" si="69"/>
        <v>11733466.611211605</v>
      </c>
      <c r="AF33" s="140">
        <v>0</v>
      </c>
      <c r="AG33" s="132">
        <f t="shared" si="66"/>
        <v>11733466.611211605</v>
      </c>
      <c r="AH33" s="134">
        <v>2.32379372263684E-2</v>
      </c>
      <c r="AI33" s="134">
        <v>3.5408857380544299E-2</v>
      </c>
      <c r="AJ33" s="132">
        <v>8766371</v>
      </c>
      <c r="AK33" s="135">
        <f t="shared" si="67"/>
        <v>42583</v>
      </c>
      <c r="AL33" s="132">
        <v>1390076.9000000008</v>
      </c>
      <c r="AM33" s="132">
        <v>2047338.0100000005</v>
      </c>
      <c r="AN33" s="142">
        <f t="shared" si="68"/>
        <v>470319.29878839478</v>
      </c>
      <c r="AO33" s="143"/>
      <c r="AP33"/>
      <c r="AQ33"/>
      <c r="AR33" s="137"/>
      <c r="AS33" s="137"/>
      <c r="AT33" s="137"/>
      <c r="AU33" s="137"/>
      <c r="AV33" s="137"/>
      <c r="AW33" s="137"/>
      <c r="AX33" s="137"/>
      <c r="AY33" s="137"/>
      <c r="BD33" s="103"/>
    </row>
    <row r="34" spans="1:58" x14ac:dyDescent="0.2">
      <c r="A34" s="282">
        <v>42675</v>
      </c>
      <c r="B34" s="283">
        <f t="shared" ref="B34:B39" si="70">EDATE(A34,-2)</f>
        <v>42614</v>
      </c>
      <c r="C34" s="134">
        <v>0.10299999999999999</v>
      </c>
      <c r="D34" s="124">
        <v>1059036126</v>
      </c>
      <c r="E34" s="125">
        <f t="shared" ref="E34:E39" si="71">V34</f>
        <v>1059036126</v>
      </c>
      <c r="F34" s="146">
        <f t="shared" ref="F34:F39" si="72">(E34-D34)</f>
        <v>0</v>
      </c>
      <c r="G34" s="133">
        <f t="shared" ref="G34:G39" si="73">(C34*F34)/12</f>
        <v>0</v>
      </c>
      <c r="H34" s="134">
        <v>0.89229999999999998</v>
      </c>
      <c r="I34" s="148">
        <f>G34*H34</f>
        <v>0</v>
      </c>
      <c r="K34" s="282">
        <f t="shared" ref="K34:M39" si="74">A34</f>
        <v>42675</v>
      </c>
      <c r="L34" s="283">
        <f t="shared" si="74"/>
        <v>42614</v>
      </c>
      <c r="M34" s="134">
        <f t="shared" si="74"/>
        <v>0.10299999999999999</v>
      </c>
      <c r="N34" s="134">
        <f t="shared" ref="N34:N39" si="75">+X34</f>
        <v>0.1061</v>
      </c>
      <c r="O34" s="134">
        <f t="shared" ref="O34:O39" si="76">N34-M34</f>
        <v>3.1000000000000055E-3</v>
      </c>
      <c r="P34" s="125">
        <f t="shared" ref="P34:P39" si="77">V34</f>
        <v>1059036126</v>
      </c>
      <c r="Q34" s="152">
        <f t="shared" ref="Q34:Q39" si="78">(O34*P34)/12</f>
        <v>273584.33255000046</v>
      </c>
      <c r="R34" s="130">
        <f t="shared" ref="R34:R39" si="79">H34</f>
        <v>0.89229999999999998</v>
      </c>
      <c r="S34" s="166">
        <f>R34*Q34</f>
        <v>244119.29993436541</v>
      </c>
      <c r="U34" s="129">
        <f t="shared" ref="U34:U39" si="80">L34</f>
        <v>42614</v>
      </c>
      <c r="V34" s="124">
        <v>1059036126</v>
      </c>
      <c r="W34" s="125">
        <f t="shared" ref="W34:W39" si="81">V34/12</f>
        <v>88253010.5</v>
      </c>
      <c r="X34" s="130">
        <f>'Q1 - KU ROR Feb17 (Pre-2016)'!$R$34</f>
        <v>0.1061</v>
      </c>
      <c r="Y34" s="124">
        <f>4374239.85-0+8100</f>
        <v>4382339.8499999996</v>
      </c>
      <c r="Z34" s="125">
        <f t="shared" ref="Z34:Z39" si="82">(W34*X34)+Y34</f>
        <v>13745984.264049999</v>
      </c>
      <c r="AA34" s="130">
        <f t="shared" ref="AA34:AA39" si="83">R34</f>
        <v>0.89229999999999998</v>
      </c>
      <c r="AB34" s="166">
        <f t="shared" ref="AB34:AB36" si="84">Z34*AA34</f>
        <v>12265541.758811815</v>
      </c>
      <c r="AD34" s="129">
        <f t="shared" si="65"/>
        <v>42552</v>
      </c>
      <c r="AE34" s="132">
        <f t="shared" si="69"/>
        <v>12169725.198591134</v>
      </c>
      <c r="AF34" s="140">
        <v>0</v>
      </c>
      <c r="AG34" s="132">
        <f t="shared" si="66"/>
        <v>12169725.198591134</v>
      </c>
      <c r="AH34" s="134">
        <v>1.8387273794608007E-2</v>
      </c>
      <c r="AI34" s="134">
        <v>2.7659695066891855E-2</v>
      </c>
      <c r="AJ34" s="132">
        <v>9780147</v>
      </c>
      <c r="AK34" s="135">
        <f t="shared" si="67"/>
        <v>42614</v>
      </c>
      <c r="AL34" s="132">
        <v>1056458.4499999995</v>
      </c>
      <c r="AM34" s="132">
        <v>1625936.4399999997</v>
      </c>
      <c r="AN34" s="142">
        <f t="shared" si="68"/>
        <v>292816.69140886515</v>
      </c>
      <c r="AO34" s="143"/>
      <c r="AP34"/>
      <c r="AQ34"/>
      <c r="AR34" s="137"/>
      <c r="AS34" s="137"/>
      <c r="AT34" s="137"/>
      <c r="AU34" s="137"/>
      <c r="AV34" s="137"/>
      <c r="AW34" s="137"/>
      <c r="AX34" s="137"/>
      <c r="AY34" s="137"/>
      <c r="BD34" s="103"/>
    </row>
    <row r="35" spans="1:58" x14ac:dyDescent="0.2">
      <c r="A35" s="282">
        <v>42705</v>
      </c>
      <c r="B35" s="283">
        <f t="shared" si="70"/>
        <v>42644</v>
      </c>
      <c r="C35" s="134">
        <v>0.10539999999999999</v>
      </c>
      <c r="D35" s="132">
        <v>1053111591</v>
      </c>
      <c r="E35" s="141">
        <f t="shared" si="71"/>
        <v>1053111591</v>
      </c>
      <c r="F35" s="146">
        <f t="shared" si="72"/>
        <v>0</v>
      </c>
      <c r="G35" s="140">
        <f t="shared" si="73"/>
        <v>0</v>
      </c>
      <c r="H35" s="134">
        <v>0.86739999999999995</v>
      </c>
      <c r="I35" s="148">
        <f t="shared" ref="I35:I39" si="85">G35*H35</f>
        <v>0</v>
      </c>
      <c r="K35" s="282">
        <f t="shared" si="74"/>
        <v>42705</v>
      </c>
      <c r="L35" s="283">
        <f t="shared" si="74"/>
        <v>42644</v>
      </c>
      <c r="M35" s="134">
        <f t="shared" si="74"/>
        <v>0.10539999999999999</v>
      </c>
      <c r="N35" s="134">
        <f t="shared" si="75"/>
        <v>0.1061</v>
      </c>
      <c r="O35" s="134">
        <f t="shared" si="76"/>
        <v>7.0000000000000617E-4</v>
      </c>
      <c r="P35" s="141">
        <f t="shared" si="77"/>
        <v>1053111591</v>
      </c>
      <c r="Q35" s="140">
        <f t="shared" si="78"/>
        <v>61431.509475000545</v>
      </c>
      <c r="R35" s="130">
        <f t="shared" si="79"/>
        <v>0.86739999999999995</v>
      </c>
      <c r="S35" s="166">
        <f t="shared" ref="S35:S39" si="86">R35*Q35</f>
        <v>53285.691318615471</v>
      </c>
      <c r="U35" s="129">
        <f t="shared" si="80"/>
        <v>42644</v>
      </c>
      <c r="V35" s="132">
        <v>1053111591</v>
      </c>
      <c r="W35" s="132">
        <f t="shared" si="81"/>
        <v>87759299.25</v>
      </c>
      <c r="X35" s="130">
        <f>'Q1 - KU ROR Feb17 (Pre-2016)'!$R$34</f>
        <v>0.1061</v>
      </c>
      <c r="Y35" s="132">
        <f>4749069-0+19340</f>
        <v>4768409</v>
      </c>
      <c r="Z35" s="132">
        <f t="shared" si="82"/>
        <v>14079670.650425</v>
      </c>
      <c r="AA35" s="130">
        <f t="shared" si="83"/>
        <v>0.86739999999999995</v>
      </c>
      <c r="AB35" s="168">
        <f t="shared" si="84"/>
        <v>12212706.322178645</v>
      </c>
      <c r="AD35" s="129">
        <f t="shared" si="65"/>
        <v>42583</v>
      </c>
      <c r="AE35" s="132">
        <f t="shared" si="69"/>
        <v>12434355.170432182</v>
      </c>
      <c r="AF35" s="140">
        <v>0</v>
      </c>
      <c r="AG35" s="132">
        <f t="shared" si="66"/>
        <v>12434355.170432182</v>
      </c>
      <c r="AH35" s="134">
        <v>1.7275820422562815E-2</v>
      </c>
      <c r="AI35" s="134">
        <v>2.5914499519426658E-2</v>
      </c>
      <c r="AJ35" s="132">
        <v>10153465</v>
      </c>
      <c r="AK35" s="135">
        <f t="shared" si="67"/>
        <v>42644</v>
      </c>
      <c r="AL35" s="132">
        <v>697062.8400000002</v>
      </c>
      <c r="AM35" s="132">
        <v>1254237.1299999999</v>
      </c>
      <c r="AN35" s="142">
        <f t="shared" si="68"/>
        <v>-329590.20043218322</v>
      </c>
      <c r="AO35" s="143"/>
      <c r="AP35"/>
      <c r="AQ35"/>
      <c r="AR35" s="137"/>
      <c r="AS35" s="137"/>
      <c r="AT35" s="137"/>
      <c r="AU35" s="137"/>
      <c r="AV35" s="137"/>
      <c r="AW35" s="137"/>
      <c r="AX35" s="137"/>
      <c r="AY35" s="137"/>
      <c r="BD35" s="103"/>
    </row>
    <row r="36" spans="1:58" x14ac:dyDescent="0.2">
      <c r="A36" s="282">
        <v>42736</v>
      </c>
      <c r="B36" s="283">
        <f t="shared" si="70"/>
        <v>42675</v>
      </c>
      <c r="C36" s="134">
        <v>0.10539999999999999</v>
      </c>
      <c r="D36" s="132">
        <v>1048785846</v>
      </c>
      <c r="E36" s="132">
        <f t="shared" si="71"/>
        <v>1048785846</v>
      </c>
      <c r="F36" s="146">
        <f t="shared" si="72"/>
        <v>0</v>
      </c>
      <c r="G36" s="140">
        <f t="shared" si="73"/>
        <v>0</v>
      </c>
      <c r="H36" s="134">
        <v>0.88100000000000001</v>
      </c>
      <c r="I36" s="148">
        <f t="shared" si="85"/>
        <v>0</v>
      </c>
      <c r="K36" s="282">
        <f t="shared" si="74"/>
        <v>42736</v>
      </c>
      <c r="L36" s="283">
        <f t="shared" si="74"/>
        <v>42675</v>
      </c>
      <c r="M36" s="134">
        <f t="shared" si="74"/>
        <v>0.10539999999999999</v>
      </c>
      <c r="N36" s="134">
        <f t="shared" si="75"/>
        <v>0.1061</v>
      </c>
      <c r="O36" s="134">
        <f t="shared" si="76"/>
        <v>7.0000000000000617E-4</v>
      </c>
      <c r="P36" s="141">
        <f t="shared" si="77"/>
        <v>1048785846</v>
      </c>
      <c r="Q36" s="140">
        <f t="shared" si="78"/>
        <v>61179.17435000054</v>
      </c>
      <c r="R36" s="130">
        <f t="shared" si="79"/>
        <v>0.88100000000000001</v>
      </c>
      <c r="S36" s="166">
        <f t="shared" si="86"/>
        <v>53898.852602350475</v>
      </c>
      <c r="U36" s="129">
        <f t="shared" si="80"/>
        <v>42675</v>
      </c>
      <c r="V36" s="132">
        <v>1048785846</v>
      </c>
      <c r="W36" s="132">
        <f t="shared" si="81"/>
        <v>87398820.5</v>
      </c>
      <c r="X36" s="130">
        <f>'Q1 - KU ROR Feb17 (Pre-2016)'!$R$34</f>
        <v>0.1061</v>
      </c>
      <c r="Y36" s="132">
        <f>4466074-0+1022</f>
        <v>4467096</v>
      </c>
      <c r="Z36" s="132">
        <f t="shared" si="82"/>
        <v>13740110.855049999</v>
      </c>
      <c r="AA36" s="130">
        <f t="shared" si="83"/>
        <v>0.88100000000000001</v>
      </c>
      <c r="AB36" s="168">
        <f t="shared" si="84"/>
        <v>12105037.66329905</v>
      </c>
      <c r="AD36" s="149"/>
      <c r="AE36" s="147"/>
      <c r="AF36" s="147"/>
      <c r="AG36" s="150">
        <f>SUM(AG30:AG35)</f>
        <v>72646336.921254233</v>
      </c>
      <c r="AH36" s="147"/>
      <c r="AI36" s="147"/>
      <c r="AJ36" s="150">
        <f>SUM(AJ30:AJ35)</f>
        <v>53170523</v>
      </c>
      <c r="AK36" s="147"/>
      <c r="AL36" s="150">
        <f>SUM(AL30:AL35)</f>
        <v>7468190.5999999996</v>
      </c>
      <c r="AM36" s="150">
        <f>SUM(AM30:AM35)</f>
        <v>12118618.349999998</v>
      </c>
      <c r="AN36" s="151">
        <f>SUM(AN30:AN35)</f>
        <v>110995.02874576673</v>
      </c>
      <c r="AO36" s="143"/>
      <c r="AP36"/>
      <c r="AQ36"/>
      <c r="AR36" s="137"/>
      <c r="AS36" s="137"/>
      <c r="AT36" s="137"/>
      <c r="AU36" s="137"/>
      <c r="AV36" s="137"/>
      <c r="AW36" s="137"/>
      <c r="AX36" s="137"/>
      <c r="AY36" s="137"/>
      <c r="BD36" s="103"/>
    </row>
    <row r="37" spans="1:58" x14ac:dyDescent="0.2">
      <c r="A37" s="282">
        <v>42767</v>
      </c>
      <c r="B37" s="283">
        <f t="shared" si="70"/>
        <v>42705</v>
      </c>
      <c r="C37" s="134">
        <v>0.10539999999999999</v>
      </c>
      <c r="D37" s="132">
        <v>1043965453</v>
      </c>
      <c r="E37" s="132">
        <f t="shared" si="71"/>
        <v>1043965453</v>
      </c>
      <c r="F37" s="146">
        <f t="shared" si="72"/>
        <v>0</v>
      </c>
      <c r="G37" s="140">
        <f t="shared" si="73"/>
        <v>0</v>
      </c>
      <c r="H37" s="134">
        <v>0.88339999999999996</v>
      </c>
      <c r="I37" s="148">
        <f t="shared" si="85"/>
        <v>0</v>
      </c>
      <c r="K37" s="282">
        <f t="shared" si="74"/>
        <v>42767</v>
      </c>
      <c r="L37" s="283">
        <f t="shared" si="74"/>
        <v>42705</v>
      </c>
      <c r="M37" s="134">
        <f t="shared" si="74"/>
        <v>0.10539999999999999</v>
      </c>
      <c r="N37" s="134">
        <f t="shared" si="75"/>
        <v>0.1061</v>
      </c>
      <c r="O37" s="134">
        <f t="shared" si="76"/>
        <v>7.0000000000000617E-4</v>
      </c>
      <c r="P37" s="141">
        <f t="shared" si="77"/>
        <v>1043965453</v>
      </c>
      <c r="Q37" s="140">
        <f t="shared" si="78"/>
        <v>60897.984758333863</v>
      </c>
      <c r="R37" s="130">
        <f t="shared" si="79"/>
        <v>0.88339999999999996</v>
      </c>
      <c r="S37" s="166">
        <f t="shared" si="86"/>
        <v>53797.279735512129</v>
      </c>
      <c r="U37" s="129">
        <f t="shared" si="80"/>
        <v>42705</v>
      </c>
      <c r="V37" s="132">
        <v>1043965453</v>
      </c>
      <c r="W37" s="132">
        <f t="shared" si="81"/>
        <v>86997121.083333328</v>
      </c>
      <c r="X37" s="130">
        <f>'Q1 - KU ROR Feb17 (Pre-2016)'!$R$34</f>
        <v>0.1061</v>
      </c>
      <c r="Y37" s="132">
        <f>4773021-0+16455</f>
        <v>4789476</v>
      </c>
      <c r="Z37" s="132">
        <f t="shared" si="82"/>
        <v>14019870.546941666</v>
      </c>
      <c r="AA37" s="130">
        <f t="shared" si="83"/>
        <v>0.88339999999999996</v>
      </c>
      <c r="AB37" s="168">
        <f t="shared" ref="AB37" si="87">Z37*AA37</f>
        <v>12385153.641168267</v>
      </c>
      <c r="AD37" s="149"/>
      <c r="AE37" s="147"/>
      <c r="AF37" s="147"/>
      <c r="AG37" s="154"/>
      <c r="AH37" s="154"/>
      <c r="AI37" s="154"/>
      <c r="AJ37" s="154"/>
      <c r="AK37" s="154"/>
      <c r="AL37" s="154"/>
      <c r="AM37" s="94" t="s">
        <v>123</v>
      </c>
      <c r="AN37" s="155">
        <v>110995</v>
      </c>
      <c r="AO37" s="143"/>
      <c r="AP37"/>
      <c r="AQ37"/>
      <c r="AR37" s="137"/>
      <c r="AS37" s="137"/>
      <c r="AT37" s="137"/>
      <c r="AU37" s="137"/>
      <c r="AV37" s="137"/>
      <c r="AW37" s="137"/>
      <c r="AX37" s="137"/>
      <c r="AY37" s="137"/>
      <c r="BD37" s="103"/>
    </row>
    <row r="38" spans="1:58" x14ac:dyDescent="0.2">
      <c r="A38" s="282">
        <v>42795</v>
      </c>
      <c r="B38" s="283">
        <f t="shared" si="70"/>
        <v>42736</v>
      </c>
      <c r="C38" s="134">
        <v>0.10539999999999999</v>
      </c>
      <c r="D38" s="132">
        <v>1044084887</v>
      </c>
      <c r="E38" s="132">
        <f t="shared" si="71"/>
        <v>1044084887</v>
      </c>
      <c r="F38" s="146">
        <f t="shared" si="72"/>
        <v>0</v>
      </c>
      <c r="G38" s="140">
        <f t="shared" si="73"/>
        <v>0</v>
      </c>
      <c r="H38" s="134">
        <v>0.87670000000000003</v>
      </c>
      <c r="I38" s="148">
        <f t="shared" si="85"/>
        <v>0</v>
      </c>
      <c r="K38" s="282">
        <f t="shared" si="74"/>
        <v>42795</v>
      </c>
      <c r="L38" s="283">
        <f t="shared" si="74"/>
        <v>42736</v>
      </c>
      <c r="M38" s="134">
        <f t="shared" si="74"/>
        <v>0.10539999999999999</v>
      </c>
      <c r="N38" s="134">
        <f t="shared" si="75"/>
        <v>0.1061</v>
      </c>
      <c r="O38" s="134">
        <f t="shared" si="76"/>
        <v>7.0000000000000617E-4</v>
      </c>
      <c r="P38" s="141">
        <f t="shared" si="77"/>
        <v>1044084887</v>
      </c>
      <c r="Q38" s="140">
        <f t="shared" si="78"/>
        <v>60904.951741667202</v>
      </c>
      <c r="R38" s="130">
        <f t="shared" si="79"/>
        <v>0.87670000000000003</v>
      </c>
      <c r="S38" s="166">
        <f t="shared" si="86"/>
        <v>53395.371191919636</v>
      </c>
      <c r="U38" s="129">
        <f t="shared" si="80"/>
        <v>42736</v>
      </c>
      <c r="V38" s="132">
        <v>1044084887</v>
      </c>
      <c r="W38" s="132">
        <f t="shared" si="81"/>
        <v>87007073.916666672</v>
      </c>
      <c r="X38" s="130">
        <f>'Q1 - KU ROR Feb17 (Pre-2016)'!$R$34</f>
        <v>0.1061</v>
      </c>
      <c r="Y38" s="132">
        <f>4791748.4-0+2162</f>
        <v>4793910.4000000004</v>
      </c>
      <c r="Z38" s="132">
        <f t="shared" si="82"/>
        <v>14025360.942558335</v>
      </c>
      <c r="AA38" s="130">
        <f t="shared" si="83"/>
        <v>0.87670000000000003</v>
      </c>
      <c r="AB38" s="168">
        <f t="shared" ref="AB38:AB39" si="88">Z38*AA38</f>
        <v>12296033.938340893</v>
      </c>
      <c r="AD38" s="149"/>
      <c r="AE38" s="147"/>
      <c r="AF38" s="147"/>
      <c r="AG38" s="154"/>
      <c r="AH38" s="154"/>
      <c r="AI38" s="154"/>
      <c r="AJ38" s="154"/>
      <c r="AK38" s="154"/>
      <c r="AL38" s="154"/>
      <c r="AM38" s="154"/>
      <c r="AN38" s="157">
        <f>AN36-AN37</f>
        <v>2.874576672911644E-2</v>
      </c>
      <c r="AO38" s="143"/>
      <c r="AP38" s="105"/>
      <c r="AQ38"/>
      <c r="AR38" s="153"/>
      <c r="BD38" s="103"/>
    </row>
    <row r="39" spans="1:58" x14ac:dyDescent="0.2">
      <c r="A39" s="282">
        <v>42826</v>
      </c>
      <c r="B39" s="283">
        <f t="shared" si="70"/>
        <v>42767</v>
      </c>
      <c r="C39" s="134">
        <v>0.10539999999999999</v>
      </c>
      <c r="D39" s="132">
        <v>1044537650</v>
      </c>
      <c r="E39" s="132">
        <f t="shared" si="71"/>
        <v>1044537650</v>
      </c>
      <c r="F39" s="146">
        <f t="shared" si="72"/>
        <v>0</v>
      </c>
      <c r="G39" s="144">
        <f t="shared" si="73"/>
        <v>0</v>
      </c>
      <c r="H39" s="134">
        <v>0.87990000000000002</v>
      </c>
      <c r="I39" s="172">
        <f t="shared" si="85"/>
        <v>0</v>
      </c>
      <c r="K39" s="282">
        <f t="shared" si="74"/>
        <v>42826</v>
      </c>
      <c r="L39" s="283">
        <f t="shared" si="74"/>
        <v>42767</v>
      </c>
      <c r="M39" s="134">
        <f t="shared" si="74"/>
        <v>0.10539999999999999</v>
      </c>
      <c r="N39" s="134">
        <f t="shared" si="75"/>
        <v>0.1061</v>
      </c>
      <c r="O39" s="134">
        <f t="shared" si="76"/>
        <v>7.0000000000000617E-4</v>
      </c>
      <c r="P39" s="141">
        <f t="shared" si="77"/>
        <v>1044537650</v>
      </c>
      <c r="Q39" s="144">
        <f t="shared" si="78"/>
        <v>60931.362916667211</v>
      </c>
      <c r="R39" s="130">
        <f t="shared" si="79"/>
        <v>0.87990000000000002</v>
      </c>
      <c r="S39" s="175">
        <f t="shared" si="86"/>
        <v>53613.506230375482</v>
      </c>
      <c r="U39" s="129">
        <f t="shared" si="80"/>
        <v>42767</v>
      </c>
      <c r="V39" s="132">
        <v>1044537650</v>
      </c>
      <c r="W39" s="132">
        <f t="shared" si="81"/>
        <v>87044804.166666672</v>
      </c>
      <c r="X39" s="130">
        <f>'Q1 - KU ROR Feb17 (Pre-2016)'!$R$34</f>
        <v>0.1061</v>
      </c>
      <c r="Y39" s="132">
        <f>4641256-0+387</f>
        <v>4641643</v>
      </c>
      <c r="Z39" s="132">
        <f t="shared" si="82"/>
        <v>13877096.722083334</v>
      </c>
      <c r="AA39" s="130">
        <f t="shared" si="83"/>
        <v>0.87990000000000002</v>
      </c>
      <c r="AB39" s="168">
        <f t="shared" si="88"/>
        <v>12210457.405761126</v>
      </c>
      <c r="AD39" s="149"/>
      <c r="AE39" s="147"/>
      <c r="AF39" s="147"/>
      <c r="AG39" s="147"/>
      <c r="AH39" s="147"/>
      <c r="AI39" s="147"/>
      <c r="AJ39" s="147"/>
      <c r="AK39" s="147"/>
      <c r="AL39" s="147"/>
      <c r="AM39" s="147"/>
      <c r="AN39" s="131"/>
      <c r="AO39" s="143"/>
      <c r="AP39" s="105"/>
      <c r="AQ39"/>
      <c r="AR39" s="153"/>
      <c r="BD39" s="103"/>
    </row>
    <row r="40" spans="1:58" x14ac:dyDescent="0.2">
      <c r="A40" s="138"/>
      <c r="B40" s="139"/>
      <c r="C40" s="134"/>
      <c r="D40" s="145"/>
      <c r="E40" s="132"/>
      <c r="F40" s="132"/>
      <c r="G40" s="146">
        <f>SUM(G34:G39)</f>
        <v>0</v>
      </c>
      <c r="H40" s="134"/>
      <c r="I40" s="148">
        <f>SUM(I34:I39)</f>
        <v>0</v>
      </c>
      <c r="K40" s="138"/>
      <c r="L40" s="139"/>
      <c r="M40" s="147"/>
      <c r="N40" s="147"/>
      <c r="O40" s="147"/>
      <c r="P40" s="147"/>
      <c r="Q40" s="146">
        <f>SUM(Q34:Q39)</f>
        <v>578929.31579166988</v>
      </c>
      <c r="R40" s="147"/>
      <c r="S40" s="148">
        <f>SUM(S34:S39)</f>
        <v>512110.00101313868</v>
      </c>
      <c r="U40" s="149"/>
      <c r="V40" s="132"/>
      <c r="W40" s="147"/>
      <c r="X40" s="147"/>
      <c r="Y40" s="147"/>
      <c r="Z40" s="147"/>
      <c r="AA40" s="147"/>
      <c r="AB40" s="131"/>
      <c r="AD40" s="129">
        <f>U34</f>
        <v>42614</v>
      </c>
      <c r="AE40" s="132">
        <f>AB34+AB73</f>
        <v>12309263.330663271</v>
      </c>
      <c r="AF40" s="133">
        <v>0</v>
      </c>
      <c r="AG40" s="125">
        <f t="shared" ref="AG40:AG43" si="89">SUM(AE40:AF40)</f>
        <v>12309263.330663271</v>
      </c>
      <c r="AH40" s="134">
        <v>1.5522563478199032E-2</v>
      </c>
      <c r="AI40" s="134">
        <v>2.3289942782196621E-2</v>
      </c>
      <c r="AJ40" s="124">
        <v>10177265</v>
      </c>
      <c r="AK40" s="135">
        <f>+A34</f>
        <v>42675</v>
      </c>
      <c r="AL40" s="124">
        <v>581945.64999999979</v>
      </c>
      <c r="AM40" s="124">
        <v>1044363.74</v>
      </c>
      <c r="AN40" s="136">
        <f>(AJ40+AL40+AM40)-AG40+0.5</f>
        <v>-505688.44066327065</v>
      </c>
      <c r="AO40" s="143"/>
      <c r="AP40" s="105"/>
      <c r="AQ40"/>
      <c r="AR40" s="153"/>
      <c r="BD40" s="103"/>
    </row>
    <row r="41" spans="1:58" ht="13.5" thickBot="1" x14ac:dyDescent="0.25">
      <c r="A41" s="158"/>
      <c r="B41" s="159"/>
      <c r="C41" s="159"/>
      <c r="D41" s="159"/>
      <c r="E41" s="159"/>
      <c r="F41" s="159"/>
      <c r="G41" s="159"/>
      <c r="H41" s="159"/>
      <c r="I41" s="160"/>
      <c r="K41" s="158"/>
      <c r="L41" s="159"/>
      <c r="M41" s="159"/>
      <c r="N41" s="159"/>
      <c r="O41" s="159"/>
      <c r="P41" s="159"/>
      <c r="Q41" s="159"/>
      <c r="R41" s="159"/>
      <c r="S41" s="160"/>
      <c r="U41" s="158"/>
      <c r="V41" s="159"/>
      <c r="W41" s="159"/>
      <c r="X41" s="161"/>
      <c r="Y41" s="162"/>
      <c r="Z41" s="159"/>
      <c r="AA41" s="159"/>
      <c r="AB41" s="160"/>
      <c r="AD41" s="282" t="s">
        <v>213</v>
      </c>
      <c r="AE41" s="132">
        <f t="shared" ref="AE41:AE44" si="90">AB35+AB74</f>
        <v>12273409.368941192</v>
      </c>
      <c r="AF41" s="140">
        <v>-561550</v>
      </c>
      <c r="AG41" s="132">
        <f t="shared" si="89"/>
        <v>11711859.368941192</v>
      </c>
      <c r="AH41" s="134">
        <v>2.8993408250746661E-2</v>
      </c>
      <c r="AI41" s="134">
        <v>4.3322603343688419E-2</v>
      </c>
      <c r="AJ41" s="132">
        <v>8130048</v>
      </c>
      <c r="AK41" s="135">
        <f>+A35</f>
        <v>42705</v>
      </c>
      <c r="AL41" s="132">
        <v>2070332.9899999993</v>
      </c>
      <c r="AM41" s="132">
        <v>2445385.0199999996</v>
      </c>
      <c r="AN41" s="142">
        <f>(AJ41+AL41+AM41)-AG41+0.15</f>
        <v>933906.79105880635</v>
      </c>
      <c r="AO41" s="143"/>
      <c r="AP41" s="156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x14ac:dyDescent="0.2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282" t="s">
        <v>214</v>
      </c>
      <c r="AE42" s="132">
        <f t="shared" si="90"/>
        <v>12172168.54735725</v>
      </c>
      <c r="AF42" s="140">
        <v>0</v>
      </c>
      <c r="AG42" s="132">
        <f t="shared" si="89"/>
        <v>12172168.54735725</v>
      </c>
      <c r="AH42" s="134">
        <v>2.8725012994661688E-2</v>
      </c>
      <c r="AI42" s="134">
        <v>4.275670594310526E-2</v>
      </c>
      <c r="AJ42" s="132">
        <v>7502372</v>
      </c>
      <c r="AK42" s="135">
        <f>+A36</f>
        <v>42736</v>
      </c>
      <c r="AL42" s="132">
        <v>1883664.0600000005</v>
      </c>
      <c r="AM42" s="132">
        <v>2193921.9699999997</v>
      </c>
      <c r="AN42" s="142">
        <f t="shared" ref="AN42:AN43" si="91">(AJ42+AL42+AM42)-AG42</f>
        <v>-592210.51735724881</v>
      </c>
      <c r="AO42" s="147"/>
      <c r="AP42" s="147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x14ac:dyDescent="0.2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29">
        <f>U37</f>
        <v>42705</v>
      </c>
      <c r="AE43" s="132">
        <f t="shared" si="90"/>
        <v>12459485.228709515</v>
      </c>
      <c r="AF43" s="140">
        <v>0</v>
      </c>
      <c r="AG43" s="132">
        <f t="shared" si="89"/>
        <v>12459485.228709515</v>
      </c>
      <c r="AH43" s="134">
        <v>2.5779218913896371E-2</v>
      </c>
      <c r="AI43" s="134">
        <v>3.8356832078824801E-2</v>
      </c>
      <c r="AJ43" s="132">
        <v>9240848</v>
      </c>
      <c r="AK43" s="135">
        <f>+A37</f>
        <v>42767</v>
      </c>
      <c r="AL43" s="132">
        <v>1402746.3299999998</v>
      </c>
      <c r="AM43" s="132">
        <v>1788257.3800000004</v>
      </c>
      <c r="AN43" s="142">
        <f t="shared" si="91"/>
        <v>-27633.51870951429</v>
      </c>
      <c r="AO43" s="147"/>
      <c r="AP43" s="147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x14ac:dyDescent="0.2">
      <c r="A44" s="102" t="s">
        <v>117</v>
      </c>
      <c r="K44" s="102" t="s">
        <v>117</v>
      </c>
      <c r="U44" s="102" t="s">
        <v>117</v>
      </c>
      <c r="AD44" s="129">
        <f t="shared" ref="AD44:AD45" si="92">U38</f>
        <v>42736</v>
      </c>
      <c r="AE44" s="132">
        <f t="shared" si="90"/>
        <v>12378518.969783427</v>
      </c>
      <c r="AF44" s="140">
        <v>0</v>
      </c>
      <c r="AG44" s="132">
        <f t="shared" ref="AG44:AG45" si="93">SUM(AE44:AF44)</f>
        <v>12378518.969783427</v>
      </c>
      <c r="AH44" s="134">
        <v>1.6166167270105752E-2</v>
      </c>
      <c r="AI44" s="134">
        <v>2.4010239935118957E-2</v>
      </c>
      <c r="AJ44" s="132">
        <v>10324401</v>
      </c>
      <c r="AK44" s="135">
        <f t="shared" ref="AK44:AK45" si="94">+A38</f>
        <v>42795</v>
      </c>
      <c r="AL44" s="132">
        <v>819624.83999999985</v>
      </c>
      <c r="AM44" s="132">
        <v>1295726.8700000001</v>
      </c>
      <c r="AN44" s="142">
        <f t="shared" ref="AN44:AN45" si="95">(AJ44+AL44+AM44)-AG44</f>
        <v>61233.7402165737</v>
      </c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3.5" thickBot="1" x14ac:dyDescent="0.25">
      <c r="A45" s="163"/>
      <c r="AD45" s="129">
        <f t="shared" si="92"/>
        <v>42767</v>
      </c>
      <c r="AE45" s="132">
        <f>AB39+AB78</f>
        <v>12314736.681009948</v>
      </c>
      <c r="AF45" s="140">
        <v>0</v>
      </c>
      <c r="AG45" s="132">
        <f t="shared" si="93"/>
        <v>12314736.681009948</v>
      </c>
      <c r="AH45" s="134">
        <v>2.7272392425757519E-2</v>
      </c>
      <c r="AI45" s="134">
        <v>4.0583473192402748E-2</v>
      </c>
      <c r="AJ45" s="132">
        <v>8917481</v>
      </c>
      <c r="AK45" s="135">
        <f t="shared" si="94"/>
        <v>42826</v>
      </c>
      <c r="AL45" s="132">
        <v>1117739.2100000004</v>
      </c>
      <c r="AM45" s="132">
        <v>1686186.49</v>
      </c>
      <c r="AN45" s="142">
        <f t="shared" si="95"/>
        <v>-593329.98100994714</v>
      </c>
      <c r="AO45" s="143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x14ac:dyDescent="0.2">
      <c r="A46" s="176">
        <v>-1</v>
      </c>
      <c r="B46" s="177">
        <f>A46-1</f>
        <v>-2</v>
      </c>
      <c r="C46" s="177">
        <f t="shared" ref="C46:H46" si="96">B46-1</f>
        <v>-3</v>
      </c>
      <c r="D46" s="177">
        <f t="shared" si="96"/>
        <v>-4</v>
      </c>
      <c r="E46" s="177">
        <f t="shared" si="96"/>
        <v>-5</v>
      </c>
      <c r="F46" s="177">
        <f t="shared" si="96"/>
        <v>-6</v>
      </c>
      <c r="G46" s="177">
        <f t="shared" si="96"/>
        <v>-7</v>
      </c>
      <c r="H46" s="177">
        <f t="shared" si="96"/>
        <v>-8</v>
      </c>
      <c r="I46" s="178">
        <f>H46-1</f>
        <v>-9</v>
      </c>
      <c r="K46" s="176">
        <v>-1</v>
      </c>
      <c r="L46" s="177">
        <f>K46-1</f>
        <v>-2</v>
      </c>
      <c r="M46" s="177">
        <f t="shared" ref="M46:R46" si="97">L46-1</f>
        <v>-3</v>
      </c>
      <c r="N46" s="177">
        <f t="shared" si="97"/>
        <v>-4</v>
      </c>
      <c r="O46" s="177">
        <f t="shared" si="97"/>
        <v>-5</v>
      </c>
      <c r="P46" s="177">
        <f t="shared" si="97"/>
        <v>-6</v>
      </c>
      <c r="Q46" s="177">
        <f t="shared" si="97"/>
        <v>-7</v>
      </c>
      <c r="R46" s="177">
        <f t="shared" si="97"/>
        <v>-8</v>
      </c>
      <c r="S46" s="178">
        <f>R46-1</f>
        <v>-9</v>
      </c>
      <c r="U46" s="176">
        <v>-1</v>
      </c>
      <c r="V46" s="177">
        <f>U46-1</f>
        <v>-2</v>
      </c>
      <c r="W46" s="177">
        <f t="shared" ref="W46:AB46" si="98">V46-1</f>
        <v>-3</v>
      </c>
      <c r="X46" s="177">
        <f t="shared" si="98"/>
        <v>-4</v>
      </c>
      <c r="Y46" s="177">
        <f t="shared" si="98"/>
        <v>-5</v>
      </c>
      <c r="Z46" s="177">
        <f t="shared" si="98"/>
        <v>-6</v>
      </c>
      <c r="AA46" s="177">
        <f t="shared" si="98"/>
        <v>-7</v>
      </c>
      <c r="AB46" s="178">
        <f t="shared" si="98"/>
        <v>-8</v>
      </c>
      <c r="AD46" s="149"/>
      <c r="AE46" s="147"/>
      <c r="AF46" s="147"/>
      <c r="AG46" s="150">
        <f>SUM(AG40:AG45)</f>
        <v>73346032.126464605</v>
      </c>
      <c r="AH46" s="147"/>
      <c r="AI46" s="147"/>
      <c r="AJ46" s="150">
        <f>SUM(AJ40:AJ45)</f>
        <v>54292415</v>
      </c>
      <c r="AK46" s="147"/>
      <c r="AL46" s="150">
        <f>SUM(AL40:AL45)</f>
        <v>7876053.0800000001</v>
      </c>
      <c r="AM46" s="150">
        <f>SUM(AM40:AM45)</f>
        <v>10453841.470000001</v>
      </c>
      <c r="AN46" s="151">
        <f>SUM(AN40:AN45)</f>
        <v>-723721.92646460084</v>
      </c>
      <c r="AO46"/>
      <c r="AP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38.25" x14ac:dyDescent="0.2">
      <c r="A47" s="108" t="s">
        <v>0</v>
      </c>
      <c r="B47" s="109" t="s">
        <v>1</v>
      </c>
      <c r="C47" s="109" t="s">
        <v>2</v>
      </c>
      <c r="D47" s="109" t="s">
        <v>3</v>
      </c>
      <c r="E47" s="109" t="s">
        <v>21</v>
      </c>
      <c r="F47" s="109" t="s">
        <v>4</v>
      </c>
      <c r="G47" s="109" t="s">
        <v>5</v>
      </c>
      <c r="H47" s="109" t="s">
        <v>24</v>
      </c>
      <c r="I47" s="110" t="s">
        <v>34</v>
      </c>
      <c r="K47" s="108" t="s">
        <v>0</v>
      </c>
      <c r="L47" s="109" t="s">
        <v>1</v>
      </c>
      <c r="M47" s="109" t="s">
        <v>2</v>
      </c>
      <c r="N47" s="109" t="s">
        <v>9</v>
      </c>
      <c r="O47" s="109" t="s">
        <v>10</v>
      </c>
      <c r="P47" s="109" t="s">
        <v>16</v>
      </c>
      <c r="Q47" s="109" t="s">
        <v>5</v>
      </c>
      <c r="R47" s="109" t="s">
        <v>24</v>
      </c>
      <c r="S47" s="110" t="s">
        <v>34</v>
      </c>
      <c r="U47" s="108" t="s">
        <v>1</v>
      </c>
      <c r="V47" s="109" t="s">
        <v>16</v>
      </c>
      <c r="W47" s="109" t="s">
        <v>14</v>
      </c>
      <c r="X47" s="109" t="s">
        <v>9</v>
      </c>
      <c r="Y47" s="109" t="s">
        <v>22</v>
      </c>
      <c r="Z47" s="109" t="s">
        <v>17</v>
      </c>
      <c r="AA47" s="109" t="s">
        <v>42</v>
      </c>
      <c r="AB47" s="112" t="s">
        <v>18</v>
      </c>
      <c r="AD47" s="149"/>
      <c r="AE47" s="147"/>
      <c r="AF47" s="147"/>
      <c r="AG47" s="147"/>
      <c r="AH47" s="147"/>
      <c r="AI47" s="147"/>
      <c r="AJ47" s="147"/>
      <c r="AK47" s="147"/>
      <c r="AL47" s="147"/>
      <c r="AM47" s="147"/>
      <c r="AN47" s="131"/>
      <c r="AO47"/>
      <c r="AP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25.5" x14ac:dyDescent="0.2">
      <c r="A48" s="114"/>
      <c r="B48" s="115"/>
      <c r="C48" s="170"/>
      <c r="D48" s="170"/>
      <c r="E48" s="170"/>
      <c r="F48" s="120" t="s">
        <v>118</v>
      </c>
      <c r="G48" s="120" t="s">
        <v>119</v>
      </c>
      <c r="H48" s="117"/>
      <c r="I48" s="118" t="s">
        <v>6</v>
      </c>
      <c r="K48" s="114"/>
      <c r="L48" s="115"/>
      <c r="M48" s="170"/>
      <c r="N48" s="170"/>
      <c r="O48" s="120" t="s">
        <v>11</v>
      </c>
      <c r="P48" s="170"/>
      <c r="Q48" s="120" t="s">
        <v>12</v>
      </c>
      <c r="R48" s="117"/>
      <c r="S48" s="118" t="s">
        <v>6</v>
      </c>
      <c r="U48" s="114"/>
      <c r="V48" s="170" t="s">
        <v>113</v>
      </c>
      <c r="W48" s="120" t="s">
        <v>114</v>
      </c>
      <c r="X48" s="170" t="s">
        <v>109</v>
      </c>
      <c r="Y48" s="117" t="s">
        <v>15</v>
      </c>
      <c r="Z48" s="119" t="s">
        <v>26</v>
      </c>
      <c r="AA48" s="117" t="s">
        <v>23</v>
      </c>
      <c r="AB48" s="118" t="s">
        <v>27</v>
      </c>
      <c r="AD48" s="149" t="s">
        <v>44</v>
      </c>
      <c r="AE48" s="165"/>
      <c r="AF48" s="165"/>
      <c r="AG48" s="125">
        <f>AG16+AG26+AG36+AG46</f>
        <v>277752488.91365099</v>
      </c>
      <c r="AH48" s="165"/>
      <c r="AI48" s="165"/>
      <c r="AJ48" s="125">
        <f>AJ16+AJ26+AJ36+AJ46</f>
        <v>162453205</v>
      </c>
      <c r="AK48" s="165"/>
      <c r="AL48" s="125">
        <f>AL16+AL26+AL36+AL46</f>
        <v>44786118.480000004</v>
      </c>
      <c r="AM48" s="125">
        <f>AM16+AM26+AM36+AM46</f>
        <v>69152255.899999991</v>
      </c>
      <c r="AN48" s="166">
        <f>AN16+AN26+AN36+AN46</f>
        <v>-1360908.8836509981</v>
      </c>
      <c r="AO48"/>
      <c r="AP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6" x14ac:dyDescent="0.2">
      <c r="A49" s="282">
        <v>42125</v>
      </c>
      <c r="B49" s="283">
        <f>EDATE(A49,-2)</f>
        <v>42064</v>
      </c>
      <c r="C49" s="134"/>
      <c r="D49" s="124"/>
      <c r="E49" s="125">
        <f>P49</f>
        <v>0</v>
      </c>
      <c r="F49" s="146">
        <f>E49-D49</f>
        <v>0</v>
      </c>
      <c r="G49" s="146">
        <f t="shared" ref="G49:G54" si="99">(C49*F49)/12</f>
        <v>0</v>
      </c>
      <c r="H49" s="134">
        <v>0.84870000000000001</v>
      </c>
      <c r="I49" s="148">
        <f>G49*H49</f>
        <v>0</v>
      </c>
      <c r="K49" s="284">
        <f>A49</f>
        <v>42125</v>
      </c>
      <c r="L49" s="285">
        <f>B49</f>
        <v>42064</v>
      </c>
      <c r="M49" s="123">
        <f>C49</f>
        <v>0</v>
      </c>
      <c r="N49" s="134">
        <f>X49</f>
        <v>0</v>
      </c>
      <c r="O49" s="123">
        <f>N49-M49</f>
        <v>0</v>
      </c>
      <c r="P49" s="126">
        <f>V49</f>
        <v>0</v>
      </c>
      <c r="Q49" s="127">
        <f t="shared" ref="Q49:Q54" si="100">O49*P49/12</f>
        <v>0</v>
      </c>
      <c r="R49" s="128">
        <f t="shared" ref="R49:R54" si="101">H49</f>
        <v>0.84870000000000001</v>
      </c>
      <c r="S49" s="174">
        <f>Q49*R49</f>
        <v>0</v>
      </c>
      <c r="U49" s="129">
        <f t="shared" ref="U49:U54" si="102">L49</f>
        <v>42064</v>
      </c>
      <c r="V49" s="124">
        <v>0</v>
      </c>
      <c r="W49" s="126">
        <f t="shared" ref="W49:W54" si="103">V49/12</f>
        <v>0</v>
      </c>
      <c r="X49" s="130"/>
      <c r="Y49" s="124">
        <v>0</v>
      </c>
      <c r="Z49" s="126">
        <f>(W49*X49)+Y49</f>
        <v>0</v>
      </c>
      <c r="AA49" s="130"/>
      <c r="AB49" s="174">
        <f t="shared" ref="AB49:AB54" si="104">Z49*AA49</f>
        <v>0</v>
      </c>
      <c r="AD49" s="289" t="s">
        <v>129</v>
      </c>
      <c r="AE49" s="165"/>
      <c r="AF49" s="165"/>
      <c r="AG49" s="147"/>
      <c r="AH49" s="165"/>
      <c r="AI49" s="165"/>
      <c r="AJ49" s="147"/>
      <c r="AK49" s="165"/>
      <c r="AL49" s="147"/>
      <c r="AM49" s="147"/>
      <c r="AN49" s="131"/>
      <c r="AO49"/>
      <c r="AP49"/>
      <c r="BD49" s="103"/>
    </row>
    <row r="50" spans="1:56" x14ac:dyDescent="0.2">
      <c r="A50" s="282">
        <v>42156</v>
      </c>
      <c r="B50" s="283">
        <f t="shared" ref="B50:B54" si="105">EDATE(A50,-2)</f>
        <v>42095</v>
      </c>
      <c r="C50" s="134"/>
      <c r="D50" s="132"/>
      <c r="E50" s="125">
        <f t="shared" ref="E50:E54" si="106">P50</f>
        <v>0</v>
      </c>
      <c r="F50" s="146">
        <f t="shared" ref="F50:F54" si="107">E50-D50</f>
        <v>0</v>
      </c>
      <c r="G50" s="146">
        <f t="shared" si="99"/>
        <v>0</v>
      </c>
      <c r="H50" s="134">
        <v>0.88580000000000003</v>
      </c>
      <c r="I50" s="148">
        <f t="shared" ref="I50:I54" si="108">G50*H50</f>
        <v>0</v>
      </c>
      <c r="K50" s="282">
        <f t="shared" ref="K50:K54" si="109">A50</f>
        <v>42156</v>
      </c>
      <c r="L50" s="283">
        <f t="shared" ref="L50:L54" si="110">B50</f>
        <v>42095</v>
      </c>
      <c r="M50" s="134">
        <f t="shared" ref="M50:M54" si="111">C50</f>
        <v>0</v>
      </c>
      <c r="N50" s="134">
        <f t="shared" ref="N50:N54" si="112">X50</f>
        <v>0</v>
      </c>
      <c r="O50" s="134">
        <f>N50-M50</f>
        <v>0</v>
      </c>
      <c r="P50" s="124">
        <f>V50</f>
        <v>0</v>
      </c>
      <c r="Q50" s="152">
        <f t="shared" si="100"/>
        <v>0</v>
      </c>
      <c r="R50" s="130">
        <f t="shared" si="101"/>
        <v>0.88580000000000003</v>
      </c>
      <c r="S50" s="166">
        <f>Q50*R50</f>
        <v>0</v>
      </c>
      <c r="U50" s="129">
        <f t="shared" si="102"/>
        <v>42095</v>
      </c>
      <c r="V50" s="124">
        <v>0</v>
      </c>
      <c r="W50" s="125">
        <f t="shared" si="103"/>
        <v>0</v>
      </c>
      <c r="X50" s="130"/>
      <c r="Y50" s="125">
        <v>0</v>
      </c>
      <c r="Z50" s="132">
        <f t="shared" ref="Z50:Z54" si="113">(W50*X50)+Y50</f>
        <v>0</v>
      </c>
      <c r="AA50" s="130"/>
      <c r="AB50" s="168">
        <f t="shared" si="104"/>
        <v>0</v>
      </c>
      <c r="AD50" s="164"/>
      <c r="AE50" s="167" t="s">
        <v>46</v>
      </c>
      <c r="AF50" s="165" t="s">
        <v>47</v>
      </c>
      <c r="AG50" s="132">
        <f>+AG16</f>
        <v>62872951.084275261</v>
      </c>
      <c r="AH50" s="165"/>
      <c r="AI50" s="165"/>
      <c r="AJ50" s="132">
        <f>+AJ16</f>
        <v>25266102</v>
      </c>
      <c r="AK50" s="165"/>
      <c r="AL50" s="132">
        <f>+AL16</f>
        <v>13299465.33</v>
      </c>
      <c r="AM50" s="132">
        <f>+AM16</f>
        <v>22997652.170000002</v>
      </c>
      <c r="AN50" s="168">
        <f>+AN16</f>
        <v>-1309731.5842752606</v>
      </c>
      <c r="AO50"/>
      <c r="AP50"/>
      <c r="BD50" s="103"/>
    </row>
    <row r="51" spans="1:56" x14ac:dyDescent="0.2">
      <c r="A51" s="282">
        <v>42186</v>
      </c>
      <c r="B51" s="283">
        <f t="shared" si="105"/>
        <v>42125</v>
      </c>
      <c r="C51" s="134"/>
      <c r="D51" s="132"/>
      <c r="E51" s="125">
        <f t="shared" si="106"/>
        <v>0</v>
      </c>
      <c r="F51" s="146">
        <f t="shared" si="107"/>
        <v>0</v>
      </c>
      <c r="G51" s="146">
        <f t="shared" si="99"/>
        <v>0</v>
      </c>
      <c r="H51" s="134">
        <v>0.86099999999999999</v>
      </c>
      <c r="I51" s="148">
        <f t="shared" si="108"/>
        <v>0</v>
      </c>
      <c r="K51" s="282">
        <f t="shared" si="109"/>
        <v>42186</v>
      </c>
      <c r="L51" s="283">
        <f t="shared" si="110"/>
        <v>42125</v>
      </c>
      <c r="M51" s="134">
        <f t="shared" si="111"/>
        <v>0</v>
      </c>
      <c r="N51" s="134">
        <f t="shared" si="112"/>
        <v>0</v>
      </c>
      <c r="O51" s="134">
        <f t="shared" ref="O51:O54" si="114">N51-M51</f>
        <v>0</v>
      </c>
      <c r="P51" s="124">
        <f>V51</f>
        <v>0</v>
      </c>
      <c r="Q51" s="152">
        <f t="shared" si="100"/>
        <v>0</v>
      </c>
      <c r="R51" s="130">
        <f t="shared" si="101"/>
        <v>0.86099999999999999</v>
      </c>
      <c r="S51" s="166">
        <f t="shared" ref="S51:S54" si="115">Q51*R51</f>
        <v>0</v>
      </c>
      <c r="U51" s="129">
        <f t="shared" si="102"/>
        <v>42125</v>
      </c>
      <c r="V51" s="124">
        <v>0</v>
      </c>
      <c r="W51" s="125">
        <f t="shared" si="103"/>
        <v>0</v>
      </c>
      <c r="X51" s="130"/>
      <c r="Y51" s="125">
        <v>0</v>
      </c>
      <c r="Z51" s="132">
        <f t="shared" si="113"/>
        <v>0</v>
      </c>
      <c r="AA51" s="130"/>
      <c r="AB51" s="168">
        <f t="shared" si="104"/>
        <v>0</v>
      </c>
      <c r="AD51" s="164"/>
      <c r="AE51" s="167" t="s">
        <v>46</v>
      </c>
      <c r="AF51" s="165" t="s">
        <v>126</v>
      </c>
      <c r="AG51" s="132">
        <f>+AG26</f>
        <v>68887168.781656891</v>
      </c>
      <c r="AH51" s="165"/>
      <c r="AI51" s="165"/>
      <c r="AJ51" s="132">
        <f>+AJ26</f>
        <v>29724165</v>
      </c>
      <c r="AK51" s="165"/>
      <c r="AL51" s="132">
        <f>+AL26</f>
        <v>16142409.470000004</v>
      </c>
      <c r="AM51" s="132">
        <f>+AM26</f>
        <v>23582143.91</v>
      </c>
      <c r="AN51" s="168">
        <f>+AN26</f>
        <v>561549.59834309667</v>
      </c>
      <c r="AO51"/>
      <c r="AP51"/>
      <c r="BD51" s="103"/>
    </row>
    <row r="52" spans="1:56" x14ac:dyDescent="0.2">
      <c r="A52" s="282">
        <v>42217</v>
      </c>
      <c r="B52" s="283">
        <f t="shared" si="105"/>
        <v>42156</v>
      </c>
      <c r="C52" s="134"/>
      <c r="D52" s="132"/>
      <c r="E52" s="125">
        <f t="shared" si="106"/>
        <v>0</v>
      </c>
      <c r="F52" s="146">
        <f t="shared" si="107"/>
        <v>0</v>
      </c>
      <c r="G52" s="146">
        <f t="shared" si="99"/>
        <v>0</v>
      </c>
      <c r="H52" s="134">
        <v>0.86029999999999995</v>
      </c>
      <c r="I52" s="148">
        <f t="shared" si="108"/>
        <v>0</v>
      </c>
      <c r="K52" s="282">
        <f t="shared" si="109"/>
        <v>42217</v>
      </c>
      <c r="L52" s="283">
        <f t="shared" si="110"/>
        <v>42156</v>
      </c>
      <c r="M52" s="134">
        <f t="shared" si="111"/>
        <v>0</v>
      </c>
      <c r="N52" s="134">
        <f t="shared" si="112"/>
        <v>0</v>
      </c>
      <c r="O52" s="134">
        <f t="shared" si="114"/>
        <v>0</v>
      </c>
      <c r="P52" s="124">
        <f t="shared" ref="P52:P54" si="116">V52</f>
        <v>0</v>
      </c>
      <c r="Q52" s="152">
        <f t="shared" si="100"/>
        <v>0</v>
      </c>
      <c r="R52" s="130">
        <f t="shared" si="101"/>
        <v>0.86029999999999995</v>
      </c>
      <c r="S52" s="166">
        <f t="shared" si="115"/>
        <v>0</v>
      </c>
      <c r="U52" s="129">
        <f t="shared" si="102"/>
        <v>42156</v>
      </c>
      <c r="V52" s="124">
        <v>0</v>
      </c>
      <c r="W52" s="125">
        <f t="shared" si="103"/>
        <v>0</v>
      </c>
      <c r="X52" s="130"/>
      <c r="Y52" s="125">
        <v>0</v>
      </c>
      <c r="Z52" s="132">
        <f t="shared" si="113"/>
        <v>0</v>
      </c>
      <c r="AA52" s="130"/>
      <c r="AB52" s="168">
        <f t="shared" si="104"/>
        <v>0</v>
      </c>
      <c r="AD52" s="164"/>
      <c r="AE52" s="167" t="s">
        <v>46</v>
      </c>
      <c r="AF52" s="165" t="s">
        <v>127</v>
      </c>
      <c r="AG52" s="169">
        <f>+AG36</f>
        <v>72646336.921254233</v>
      </c>
      <c r="AH52" s="165"/>
      <c r="AI52" s="165"/>
      <c r="AJ52" s="169">
        <f>+AJ36</f>
        <v>53170523</v>
      </c>
      <c r="AK52" s="165"/>
      <c r="AL52" s="169">
        <f>+AL36</f>
        <v>7468190.5999999996</v>
      </c>
      <c r="AM52" s="169">
        <f>+AM36</f>
        <v>12118618.349999998</v>
      </c>
      <c r="AN52" s="290">
        <f>+AN36</f>
        <v>110995.02874576673</v>
      </c>
      <c r="AO52"/>
      <c r="AP52"/>
      <c r="BD52" s="103"/>
    </row>
    <row r="53" spans="1:56" x14ac:dyDescent="0.2">
      <c r="A53" s="282">
        <v>42248</v>
      </c>
      <c r="B53" s="283">
        <f t="shared" si="105"/>
        <v>42186</v>
      </c>
      <c r="C53" s="134"/>
      <c r="D53" s="132"/>
      <c r="E53" s="125">
        <f t="shared" si="106"/>
        <v>0</v>
      </c>
      <c r="F53" s="146">
        <f t="shared" si="107"/>
        <v>0</v>
      </c>
      <c r="G53" s="146">
        <f t="shared" si="99"/>
        <v>0</v>
      </c>
      <c r="H53" s="134">
        <v>0.86129999999999995</v>
      </c>
      <c r="I53" s="148">
        <f t="shared" si="108"/>
        <v>0</v>
      </c>
      <c r="K53" s="282">
        <f t="shared" si="109"/>
        <v>42248</v>
      </c>
      <c r="L53" s="283">
        <f t="shared" si="110"/>
        <v>42186</v>
      </c>
      <c r="M53" s="134">
        <f t="shared" si="111"/>
        <v>0</v>
      </c>
      <c r="N53" s="134">
        <f t="shared" si="112"/>
        <v>0</v>
      </c>
      <c r="O53" s="134">
        <f t="shared" si="114"/>
        <v>0</v>
      </c>
      <c r="P53" s="124">
        <f t="shared" si="116"/>
        <v>0</v>
      </c>
      <c r="Q53" s="152">
        <f t="shared" si="100"/>
        <v>0</v>
      </c>
      <c r="R53" s="130">
        <f t="shared" si="101"/>
        <v>0.86129999999999995</v>
      </c>
      <c r="S53" s="166">
        <f t="shared" si="115"/>
        <v>0</v>
      </c>
      <c r="U53" s="129">
        <f t="shared" si="102"/>
        <v>42186</v>
      </c>
      <c r="V53" s="124">
        <v>0</v>
      </c>
      <c r="W53" s="125">
        <f t="shared" si="103"/>
        <v>0</v>
      </c>
      <c r="X53" s="130"/>
      <c r="Y53" s="125">
        <v>0</v>
      </c>
      <c r="Z53" s="132">
        <f t="shared" si="113"/>
        <v>0</v>
      </c>
      <c r="AA53" s="130"/>
      <c r="AB53" s="168">
        <f t="shared" si="104"/>
        <v>0</v>
      </c>
      <c r="AD53" s="164" t="s">
        <v>45</v>
      </c>
      <c r="AE53" s="165"/>
      <c r="AF53" s="165"/>
      <c r="AG53" s="125">
        <f>+AG48-SUM(AG50:AG52)</f>
        <v>73346032.126464605</v>
      </c>
      <c r="AH53" s="165"/>
      <c r="AI53" s="165"/>
      <c r="AJ53" s="125">
        <f>+AJ48-SUM(AJ50:AJ52)</f>
        <v>54292415</v>
      </c>
      <c r="AK53" s="165"/>
      <c r="AL53" s="125">
        <f>+AL48-SUM(AL50:AL52)</f>
        <v>7876053.0799999982</v>
      </c>
      <c r="AM53" s="125">
        <f>+AM48-SUM(AM50:AM52)</f>
        <v>10453841.469999999</v>
      </c>
      <c r="AN53" s="166">
        <f>+AN48-SUM(AN50:AN52)</f>
        <v>-723721.92646460095</v>
      </c>
      <c r="AO53"/>
      <c r="AP53"/>
      <c r="BD53" s="103"/>
    </row>
    <row r="54" spans="1:56" x14ac:dyDescent="0.2">
      <c r="A54" s="282">
        <v>42278</v>
      </c>
      <c r="B54" s="283">
        <f t="shared" si="105"/>
        <v>42217</v>
      </c>
      <c r="C54" s="134"/>
      <c r="D54" s="132"/>
      <c r="E54" s="125">
        <f t="shared" si="106"/>
        <v>0</v>
      </c>
      <c r="F54" s="146">
        <f t="shared" si="107"/>
        <v>0</v>
      </c>
      <c r="G54" s="171">
        <f t="shared" si="99"/>
        <v>0</v>
      </c>
      <c r="H54" s="134">
        <v>0.86939999999999995</v>
      </c>
      <c r="I54" s="172">
        <f t="shared" si="108"/>
        <v>0</v>
      </c>
      <c r="K54" s="282">
        <f t="shared" si="109"/>
        <v>42278</v>
      </c>
      <c r="L54" s="283">
        <f t="shared" si="110"/>
        <v>42217</v>
      </c>
      <c r="M54" s="134">
        <f t="shared" si="111"/>
        <v>0</v>
      </c>
      <c r="N54" s="134">
        <f t="shared" si="112"/>
        <v>0</v>
      </c>
      <c r="O54" s="134">
        <f t="shared" si="114"/>
        <v>0</v>
      </c>
      <c r="P54" s="124">
        <f t="shared" si="116"/>
        <v>0</v>
      </c>
      <c r="Q54" s="173">
        <f t="shared" si="100"/>
        <v>0</v>
      </c>
      <c r="R54" s="130">
        <f t="shared" si="101"/>
        <v>0.86939999999999995</v>
      </c>
      <c r="S54" s="175">
        <f t="shared" si="115"/>
        <v>0</v>
      </c>
      <c r="U54" s="129">
        <f t="shared" si="102"/>
        <v>42217</v>
      </c>
      <c r="V54" s="124">
        <v>0</v>
      </c>
      <c r="W54" s="125">
        <f t="shared" si="103"/>
        <v>0</v>
      </c>
      <c r="X54" s="130"/>
      <c r="Y54" s="125">
        <v>0</v>
      </c>
      <c r="Z54" s="132">
        <f t="shared" si="113"/>
        <v>0</v>
      </c>
      <c r="AA54" s="130"/>
      <c r="AB54" s="168">
        <f t="shared" si="104"/>
        <v>0</v>
      </c>
      <c r="AD54" s="149"/>
      <c r="AE54" s="165"/>
      <c r="AF54" s="165"/>
      <c r="AG54" s="147"/>
      <c r="AH54" s="165"/>
      <c r="AI54" s="165"/>
      <c r="AJ54" s="165"/>
      <c r="AK54" s="165"/>
      <c r="AL54" s="165"/>
      <c r="AM54" s="165"/>
      <c r="AN54" s="291"/>
      <c r="AO54"/>
      <c r="AP54"/>
      <c r="BD54" s="103"/>
    </row>
    <row r="55" spans="1:56" ht="13.5" thickBot="1" x14ac:dyDescent="0.25">
      <c r="A55" s="282"/>
      <c r="B55" s="283"/>
      <c r="C55" s="134"/>
      <c r="D55" s="145"/>
      <c r="E55" s="132"/>
      <c r="F55" s="132"/>
      <c r="G55" s="146">
        <f>SUM(G49:G54)</f>
        <v>0</v>
      </c>
      <c r="H55" s="147"/>
      <c r="I55" s="148">
        <f>SUM(I49:I54)</f>
        <v>0</v>
      </c>
      <c r="K55" s="286"/>
      <c r="L55" s="287"/>
      <c r="M55" s="147"/>
      <c r="N55" s="147"/>
      <c r="O55" s="147"/>
      <c r="P55" s="147"/>
      <c r="Q55" s="146">
        <f>SUM(Q49:Q54)</f>
        <v>0</v>
      </c>
      <c r="R55" s="147"/>
      <c r="S55" s="148">
        <f>SUM(S49:S54)</f>
        <v>0</v>
      </c>
      <c r="U55" s="129"/>
      <c r="V55" s="132"/>
      <c r="W55" s="147"/>
      <c r="X55" s="147"/>
      <c r="Y55" s="141"/>
      <c r="Z55" s="147"/>
      <c r="AA55" s="147"/>
      <c r="AB55" s="131"/>
      <c r="AD55" s="158" t="s">
        <v>215</v>
      </c>
      <c r="AE55" s="311"/>
      <c r="AF55" s="311"/>
      <c r="AG55" s="159"/>
      <c r="AH55" s="311"/>
      <c r="AI55" s="311"/>
      <c r="AJ55" s="311"/>
      <c r="AK55" s="311"/>
      <c r="AL55" s="311"/>
      <c r="AM55" s="311"/>
      <c r="AN55" s="312"/>
      <c r="AO55"/>
      <c r="AP55"/>
      <c r="BD55" s="103"/>
    </row>
    <row r="56" spans="1:56" x14ac:dyDescent="0.2">
      <c r="A56" s="282"/>
      <c r="B56" s="283"/>
      <c r="C56" s="134"/>
      <c r="D56" s="145"/>
      <c r="E56" s="132"/>
      <c r="F56" s="132"/>
      <c r="G56" s="132"/>
      <c r="H56" s="134"/>
      <c r="I56" s="131"/>
      <c r="K56" s="282"/>
      <c r="L56" s="283"/>
      <c r="M56" s="134"/>
      <c r="N56" s="134"/>
      <c r="O56" s="134"/>
      <c r="P56" s="141"/>
      <c r="Q56" s="141"/>
      <c r="R56" s="130"/>
      <c r="S56" s="131"/>
      <c r="U56" s="149"/>
      <c r="V56" s="132"/>
      <c r="W56" s="147"/>
      <c r="X56" s="147"/>
      <c r="Y56" s="147"/>
      <c r="Z56" s="147"/>
      <c r="AA56" s="147"/>
      <c r="AB56" s="131"/>
      <c r="AD56"/>
      <c r="AE56"/>
      <c r="BD56" s="103"/>
    </row>
    <row r="57" spans="1:56" x14ac:dyDescent="0.2">
      <c r="A57" s="282">
        <v>42309</v>
      </c>
      <c r="B57" s="283">
        <f t="shared" ref="B57:B62" si="117">EDATE(A57,-2)</f>
        <v>42248</v>
      </c>
      <c r="C57" s="134"/>
      <c r="D57" s="124"/>
      <c r="E57" s="125">
        <f t="shared" ref="E57:E62" si="118">P57</f>
        <v>0</v>
      </c>
      <c r="F57" s="146">
        <f>E57-D57</f>
        <v>0</v>
      </c>
      <c r="G57" s="146">
        <f t="shared" ref="G57:G62" si="119">(C57*F57)/12</f>
        <v>0</v>
      </c>
      <c r="H57" s="134">
        <v>0.87360000000000004</v>
      </c>
      <c r="I57" s="148">
        <f>G57*H57</f>
        <v>0</v>
      </c>
      <c r="K57" s="282">
        <f t="shared" ref="K57:M62" si="120">A57</f>
        <v>42309</v>
      </c>
      <c r="L57" s="283">
        <f t="shared" si="120"/>
        <v>42248</v>
      </c>
      <c r="M57" s="134">
        <f t="shared" si="120"/>
        <v>0</v>
      </c>
      <c r="N57" s="134">
        <f t="shared" ref="N57:N62" si="121">X57</f>
        <v>0</v>
      </c>
      <c r="O57" s="134">
        <f t="shared" ref="O57:O62" si="122">N57-M57</f>
        <v>0</v>
      </c>
      <c r="P57" s="124">
        <f t="shared" ref="P57:P62" si="123">V57</f>
        <v>0</v>
      </c>
      <c r="Q57" s="152">
        <f t="shared" ref="Q57:Q62" si="124">O57*P57/12</f>
        <v>0</v>
      </c>
      <c r="R57" s="130">
        <f t="shared" ref="R57:R62" si="125">H57</f>
        <v>0.87360000000000004</v>
      </c>
      <c r="S57" s="166">
        <f t="shared" ref="S57:S61" si="126">Q57*R57</f>
        <v>0</v>
      </c>
      <c r="U57" s="129">
        <f t="shared" ref="U57:U62" si="127">L57</f>
        <v>42248</v>
      </c>
      <c r="V57" s="124">
        <v>0</v>
      </c>
      <c r="W57" s="125">
        <f t="shared" ref="W57:W62" si="128">V57/12</f>
        <v>0</v>
      </c>
      <c r="X57" s="130"/>
      <c r="Y57" s="124">
        <v>0</v>
      </c>
      <c r="Z57" s="132">
        <f t="shared" ref="Z57:Z62" si="129">(W57*X57)+Y57</f>
        <v>0</v>
      </c>
      <c r="AA57" s="130"/>
      <c r="AB57" s="166">
        <f t="shared" ref="AB57:AB62" si="130">Z57*AA57</f>
        <v>0</v>
      </c>
      <c r="AD57"/>
      <c r="AE57"/>
      <c r="BD57" s="103"/>
    </row>
    <row r="58" spans="1:56" x14ac:dyDescent="0.2">
      <c r="A58" s="282">
        <v>42339</v>
      </c>
      <c r="B58" s="283">
        <f t="shared" si="117"/>
        <v>42278</v>
      </c>
      <c r="C58" s="134"/>
      <c r="D58" s="145"/>
      <c r="E58" s="125">
        <f t="shared" si="118"/>
        <v>0</v>
      </c>
      <c r="F58" s="146">
        <f t="shared" ref="F58:F62" si="131">E58-D58</f>
        <v>0</v>
      </c>
      <c r="G58" s="146">
        <f t="shared" si="119"/>
        <v>0</v>
      </c>
      <c r="H58" s="134">
        <v>0.89580000000000004</v>
      </c>
      <c r="I58" s="148">
        <f t="shared" ref="I58:I62" si="132">G58*H58</f>
        <v>0</v>
      </c>
      <c r="K58" s="282">
        <f t="shared" si="120"/>
        <v>42339</v>
      </c>
      <c r="L58" s="283">
        <f t="shared" si="120"/>
        <v>42278</v>
      </c>
      <c r="M58" s="134">
        <f t="shared" si="120"/>
        <v>0</v>
      </c>
      <c r="N58" s="134">
        <f t="shared" si="121"/>
        <v>0</v>
      </c>
      <c r="O58" s="134">
        <f t="shared" si="122"/>
        <v>0</v>
      </c>
      <c r="P58" s="124">
        <f t="shared" si="123"/>
        <v>0</v>
      </c>
      <c r="Q58" s="152">
        <f t="shared" si="124"/>
        <v>0</v>
      </c>
      <c r="R58" s="130">
        <f t="shared" si="125"/>
        <v>0.89580000000000004</v>
      </c>
      <c r="S58" s="166">
        <f t="shared" si="126"/>
        <v>0</v>
      </c>
      <c r="U58" s="129">
        <f t="shared" si="127"/>
        <v>42278</v>
      </c>
      <c r="V58" s="124">
        <v>0</v>
      </c>
      <c r="W58" s="125">
        <f t="shared" si="128"/>
        <v>0</v>
      </c>
      <c r="X58" s="130"/>
      <c r="Y58" s="125">
        <v>0</v>
      </c>
      <c r="Z58" s="132">
        <f t="shared" si="129"/>
        <v>0</v>
      </c>
      <c r="AA58" s="130"/>
      <c r="AB58" s="168">
        <f t="shared" si="130"/>
        <v>0</v>
      </c>
      <c r="AD58"/>
      <c r="AE58"/>
      <c r="BD58" s="103"/>
    </row>
    <row r="59" spans="1:56" x14ac:dyDescent="0.2">
      <c r="A59" s="282">
        <v>42370</v>
      </c>
      <c r="B59" s="283">
        <f t="shared" si="117"/>
        <v>42309</v>
      </c>
      <c r="C59" s="134"/>
      <c r="D59" s="145"/>
      <c r="E59" s="125">
        <f t="shared" si="118"/>
        <v>0</v>
      </c>
      <c r="F59" s="146">
        <f t="shared" si="131"/>
        <v>0</v>
      </c>
      <c r="G59" s="146">
        <f t="shared" si="119"/>
        <v>0</v>
      </c>
      <c r="H59" s="134">
        <v>0.88770000000000004</v>
      </c>
      <c r="I59" s="148">
        <f t="shared" si="132"/>
        <v>0</v>
      </c>
      <c r="K59" s="282">
        <f t="shared" si="120"/>
        <v>42370</v>
      </c>
      <c r="L59" s="283">
        <f t="shared" si="120"/>
        <v>42309</v>
      </c>
      <c r="M59" s="134">
        <f t="shared" si="120"/>
        <v>0</v>
      </c>
      <c r="N59" s="134">
        <f t="shared" si="121"/>
        <v>0</v>
      </c>
      <c r="O59" s="134">
        <f t="shared" si="122"/>
        <v>0</v>
      </c>
      <c r="P59" s="124">
        <f t="shared" si="123"/>
        <v>0</v>
      </c>
      <c r="Q59" s="152">
        <f t="shared" si="124"/>
        <v>0</v>
      </c>
      <c r="R59" s="130">
        <f t="shared" si="125"/>
        <v>0.88770000000000004</v>
      </c>
      <c r="S59" s="166">
        <f t="shared" si="126"/>
        <v>0</v>
      </c>
      <c r="U59" s="129">
        <f t="shared" si="127"/>
        <v>42309</v>
      </c>
      <c r="V59" s="124">
        <v>0</v>
      </c>
      <c r="W59" s="125">
        <f t="shared" si="128"/>
        <v>0</v>
      </c>
      <c r="X59" s="130"/>
      <c r="Y59" s="125">
        <v>0</v>
      </c>
      <c r="Z59" s="132">
        <f t="shared" si="129"/>
        <v>0</v>
      </c>
      <c r="AA59" s="130"/>
      <c r="AB59" s="168">
        <f t="shared" si="130"/>
        <v>0</v>
      </c>
      <c r="AD59"/>
      <c r="AE59"/>
      <c r="BD59" s="103"/>
    </row>
    <row r="60" spans="1:56" x14ac:dyDescent="0.2">
      <c r="A60" s="282">
        <v>42401</v>
      </c>
      <c r="B60" s="283">
        <f t="shared" si="117"/>
        <v>42339</v>
      </c>
      <c r="C60" s="134"/>
      <c r="D60" s="145"/>
      <c r="E60" s="125">
        <f t="shared" si="118"/>
        <v>0</v>
      </c>
      <c r="F60" s="146">
        <f t="shared" si="131"/>
        <v>0</v>
      </c>
      <c r="G60" s="146">
        <f t="shared" si="119"/>
        <v>0</v>
      </c>
      <c r="H60" s="134">
        <v>0.86360000000000003</v>
      </c>
      <c r="I60" s="148">
        <f t="shared" si="132"/>
        <v>0</v>
      </c>
      <c r="K60" s="282">
        <f t="shared" si="120"/>
        <v>42401</v>
      </c>
      <c r="L60" s="283">
        <f t="shared" si="120"/>
        <v>42339</v>
      </c>
      <c r="M60" s="134">
        <f t="shared" si="120"/>
        <v>0</v>
      </c>
      <c r="N60" s="134">
        <f t="shared" si="121"/>
        <v>0</v>
      </c>
      <c r="O60" s="134">
        <f t="shared" si="122"/>
        <v>0</v>
      </c>
      <c r="P60" s="124">
        <f t="shared" si="123"/>
        <v>0</v>
      </c>
      <c r="Q60" s="152">
        <f t="shared" si="124"/>
        <v>0</v>
      </c>
      <c r="R60" s="130">
        <f t="shared" si="125"/>
        <v>0.86360000000000003</v>
      </c>
      <c r="S60" s="166">
        <f t="shared" si="126"/>
        <v>0</v>
      </c>
      <c r="U60" s="129">
        <f t="shared" si="127"/>
        <v>42339</v>
      </c>
      <c r="V60" s="124">
        <v>0</v>
      </c>
      <c r="W60" s="125">
        <f t="shared" si="128"/>
        <v>0</v>
      </c>
      <c r="X60" s="130"/>
      <c r="Y60" s="125">
        <v>0</v>
      </c>
      <c r="Z60" s="132">
        <f t="shared" si="129"/>
        <v>0</v>
      </c>
      <c r="AA60" s="130"/>
      <c r="AB60" s="168">
        <f t="shared" si="130"/>
        <v>0</v>
      </c>
      <c r="AE60" s="105"/>
      <c r="BD60" s="103"/>
    </row>
    <row r="61" spans="1:56" x14ac:dyDescent="0.2">
      <c r="A61" s="282">
        <v>42430</v>
      </c>
      <c r="B61" s="283">
        <f t="shared" si="117"/>
        <v>42370</v>
      </c>
      <c r="C61" s="134"/>
      <c r="D61" s="145"/>
      <c r="E61" s="125">
        <f t="shared" si="118"/>
        <v>0</v>
      </c>
      <c r="F61" s="146">
        <f t="shared" si="131"/>
        <v>0</v>
      </c>
      <c r="G61" s="146">
        <f t="shared" si="119"/>
        <v>0</v>
      </c>
      <c r="H61" s="134">
        <v>0.87670000000000003</v>
      </c>
      <c r="I61" s="148">
        <f t="shared" si="132"/>
        <v>0</v>
      </c>
      <c r="K61" s="282">
        <f t="shared" si="120"/>
        <v>42430</v>
      </c>
      <c r="L61" s="283">
        <f t="shared" si="120"/>
        <v>42370</v>
      </c>
      <c r="M61" s="134">
        <f t="shared" si="120"/>
        <v>0</v>
      </c>
      <c r="N61" s="134">
        <f t="shared" si="121"/>
        <v>0</v>
      </c>
      <c r="O61" s="134">
        <f t="shared" si="122"/>
        <v>0</v>
      </c>
      <c r="P61" s="124">
        <f t="shared" si="123"/>
        <v>0</v>
      </c>
      <c r="Q61" s="152">
        <f t="shared" si="124"/>
        <v>0</v>
      </c>
      <c r="R61" s="130">
        <f t="shared" si="125"/>
        <v>0.87670000000000003</v>
      </c>
      <c r="S61" s="166">
        <f t="shared" si="126"/>
        <v>0</v>
      </c>
      <c r="U61" s="129">
        <f t="shared" si="127"/>
        <v>42370</v>
      </c>
      <c r="V61" s="124">
        <v>0</v>
      </c>
      <c r="W61" s="125">
        <f t="shared" si="128"/>
        <v>0</v>
      </c>
      <c r="X61" s="130"/>
      <c r="Y61" s="125">
        <v>0</v>
      </c>
      <c r="Z61" s="132">
        <f t="shared" si="129"/>
        <v>0</v>
      </c>
      <c r="AA61" s="130"/>
      <c r="AB61" s="168">
        <f t="shared" si="130"/>
        <v>0</v>
      </c>
      <c r="AP61" s="105"/>
      <c r="BD61" s="103"/>
    </row>
    <row r="62" spans="1:56" x14ac:dyDescent="0.2">
      <c r="A62" s="282">
        <v>42461</v>
      </c>
      <c r="B62" s="283">
        <f t="shared" si="117"/>
        <v>42401</v>
      </c>
      <c r="C62" s="134"/>
      <c r="D62" s="145"/>
      <c r="E62" s="125">
        <f t="shared" si="118"/>
        <v>0</v>
      </c>
      <c r="F62" s="146">
        <f t="shared" si="131"/>
        <v>0</v>
      </c>
      <c r="G62" s="171">
        <f t="shared" si="119"/>
        <v>0</v>
      </c>
      <c r="H62" s="134">
        <v>0.87980000000000003</v>
      </c>
      <c r="I62" s="172">
        <f t="shared" si="132"/>
        <v>0</v>
      </c>
      <c r="K62" s="282">
        <f t="shared" si="120"/>
        <v>42461</v>
      </c>
      <c r="L62" s="283">
        <f t="shared" si="120"/>
        <v>42401</v>
      </c>
      <c r="M62" s="134">
        <f t="shared" si="120"/>
        <v>0</v>
      </c>
      <c r="N62" s="134">
        <f t="shared" si="121"/>
        <v>0</v>
      </c>
      <c r="O62" s="134">
        <f t="shared" si="122"/>
        <v>0</v>
      </c>
      <c r="P62" s="124">
        <f t="shared" si="123"/>
        <v>0</v>
      </c>
      <c r="Q62" s="173">
        <f t="shared" si="124"/>
        <v>0</v>
      </c>
      <c r="R62" s="130">
        <f t="shared" si="125"/>
        <v>0.87980000000000003</v>
      </c>
      <c r="S62" s="175">
        <f t="shared" ref="S62" si="133">Q62*R62</f>
        <v>0</v>
      </c>
      <c r="U62" s="129">
        <f t="shared" si="127"/>
        <v>42401</v>
      </c>
      <c r="V62" s="124">
        <v>0</v>
      </c>
      <c r="W62" s="125">
        <f t="shared" si="128"/>
        <v>0</v>
      </c>
      <c r="X62" s="130"/>
      <c r="Y62" s="125">
        <v>0</v>
      </c>
      <c r="Z62" s="132">
        <f t="shared" si="129"/>
        <v>0</v>
      </c>
      <c r="AA62" s="130"/>
      <c r="AB62" s="168">
        <f t="shared" si="130"/>
        <v>0</v>
      </c>
      <c r="AP62" s="105"/>
      <c r="BD62" s="103"/>
    </row>
    <row r="63" spans="1:56" x14ac:dyDescent="0.2">
      <c r="A63" s="282"/>
      <c r="B63" s="283"/>
      <c r="C63" s="134"/>
      <c r="D63" s="145"/>
      <c r="E63" s="132"/>
      <c r="F63" s="132"/>
      <c r="G63" s="146">
        <f>SUM(G57:G62)</f>
        <v>0</v>
      </c>
      <c r="H63" s="134"/>
      <c r="I63" s="148">
        <f>SUM(I57:I62)</f>
        <v>0</v>
      </c>
      <c r="K63" s="282"/>
      <c r="L63" s="283"/>
      <c r="M63" s="147"/>
      <c r="N63" s="147"/>
      <c r="O63" s="147"/>
      <c r="P63" s="147"/>
      <c r="Q63" s="146">
        <f>SUM(Q57:Q62)</f>
        <v>0</v>
      </c>
      <c r="R63" s="147"/>
      <c r="S63" s="148">
        <f>SUM(S57:S62)</f>
        <v>0</v>
      </c>
      <c r="U63" s="149"/>
      <c r="V63" s="132"/>
      <c r="W63" s="147"/>
      <c r="X63" s="147"/>
      <c r="Y63" s="147"/>
      <c r="Z63" s="147"/>
      <c r="AA63" s="147"/>
      <c r="AB63" s="131"/>
      <c r="AP63" s="105"/>
      <c r="BD63" s="103"/>
    </row>
    <row r="64" spans="1:56" x14ac:dyDescent="0.2">
      <c r="A64" s="282"/>
      <c r="B64" s="283"/>
      <c r="C64" s="134"/>
      <c r="D64" s="145"/>
      <c r="E64" s="132"/>
      <c r="F64" s="132"/>
      <c r="G64" s="132"/>
      <c r="H64" s="134"/>
      <c r="I64" s="131"/>
      <c r="K64" s="282"/>
      <c r="L64" s="283"/>
      <c r="M64" s="134"/>
      <c r="N64" s="134"/>
      <c r="O64" s="134"/>
      <c r="P64" s="141"/>
      <c r="Q64" s="141"/>
      <c r="R64" s="130"/>
      <c r="S64" s="131"/>
      <c r="U64" s="149"/>
      <c r="V64" s="147"/>
      <c r="W64" s="147"/>
      <c r="X64" s="147"/>
      <c r="Y64" s="147"/>
      <c r="Z64" s="147"/>
      <c r="AA64" s="147"/>
      <c r="AB64" s="131"/>
      <c r="AP64" s="105"/>
      <c r="BD64" s="103"/>
    </row>
    <row r="65" spans="1:56" x14ac:dyDescent="0.2">
      <c r="A65" s="282">
        <v>42491</v>
      </c>
      <c r="B65" s="283">
        <f t="shared" ref="B65:B70" si="134">EDATE(A65,-2)</f>
        <v>42430</v>
      </c>
      <c r="C65" s="134"/>
      <c r="D65" s="124"/>
      <c r="E65" s="125">
        <f t="shared" ref="E65:E70" si="135">P65</f>
        <v>0</v>
      </c>
      <c r="F65" s="146">
        <f>E65-D65</f>
        <v>0</v>
      </c>
      <c r="G65" s="146">
        <f t="shared" ref="G65:G70" si="136">(C65*F65)/12</f>
        <v>0</v>
      </c>
      <c r="H65" s="134">
        <v>0.88270000000000004</v>
      </c>
      <c r="I65" s="148">
        <f>G65*H65</f>
        <v>0</v>
      </c>
      <c r="K65" s="282">
        <f t="shared" ref="K65:M70" si="137">A65</f>
        <v>42491</v>
      </c>
      <c r="L65" s="283">
        <f t="shared" si="137"/>
        <v>42430</v>
      </c>
      <c r="M65" s="134">
        <f t="shared" si="137"/>
        <v>0</v>
      </c>
      <c r="N65" s="134">
        <f t="shared" ref="N65:N70" si="138">X65</f>
        <v>0</v>
      </c>
      <c r="O65" s="134">
        <f t="shared" ref="O65:O70" si="139">N65-M65</f>
        <v>0</v>
      </c>
      <c r="P65" s="124">
        <f t="shared" ref="P65:P70" si="140">V65</f>
        <v>0</v>
      </c>
      <c r="Q65" s="152">
        <f t="shared" ref="Q65:Q70" si="141">O65*P65/12</f>
        <v>0</v>
      </c>
      <c r="R65" s="130">
        <f t="shared" ref="R65:R70" si="142">H65</f>
        <v>0.88270000000000004</v>
      </c>
      <c r="S65" s="166">
        <f t="shared" ref="S65:S69" si="143">Q65*R65</f>
        <v>0</v>
      </c>
      <c r="U65" s="129">
        <f t="shared" ref="U65:U70" si="144">L65</f>
        <v>42430</v>
      </c>
      <c r="V65" s="124">
        <v>0</v>
      </c>
      <c r="W65" s="125">
        <f t="shared" ref="W65:W70" si="145">V65/12</f>
        <v>0</v>
      </c>
      <c r="X65" s="130">
        <v>0</v>
      </c>
      <c r="Y65" s="124">
        <v>0</v>
      </c>
      <c r="Z65" s="132">
        <f t="shared" ref="Z65:Z70" si="146">(W65*X65)+Y65</f>
        <v>0</v>
      </c>
      <c r="AA65" s="130">
        <v>0.88270000000000004</v>
      </c>
      <c r="AB65" s="166">
        <f t="shared" ref="AB65:AB70" si="147">Z65*AA65</f>
        <v>0</v>
      </c>
      <c r="AP65" s="105"/>
      <c r="BD65" s="103"/>
    </row>
    <row r="66" spans="1:56" x14ac:dyDescent="0.2">
      <c r="A66" s="282">
        <v>42522</v>
      </c>
      <c r="B66" s="283">
        <f t="shared" si="134"/>
        <v>42461</v>
      </c>
      <c r="C66" s="134"/>
      <c r="D66" s="132"/>
      <c r="E66" s="125">
        <f t="shared" si="135"/>
        <v>0</v>
      </c>
      <c r="F66" s="146">
        <f t="shared" ref="F66:F70" si="148">E66-D66</f>
        <v>0</v>
      </c>
      <c r="G66" s="146">
        <f t="shared" si="136"/>
        <v>0</v>
      </c>
      <c r="H66" s="134">
        <v>0.87770000000000004</v>
      </c>
      <c r="I66" s="148">
        <f t="shared" ref="I66:I70" si="149">G66*H66</f>
        <v>0</v>
      </c>
      <c r="K66" s="282">
        <f t="shared" si="137"/>
        <v>42522</v>
      </c>
      <c r="L66" s="283">
        <f t="shared" si="137"/>
        <v>42461</v>
      </c>
      <c r="M66" s="134">
        <f t="shared" si="137"/>
        <v>0</v>
      </c>
      <c r="N66" s="134">
        <f t="shared" si="138"/>
        <v>0</v>
      </c>
      <c r="O66" s="134">
        <f t="shared" si="139"/>
        <v>0</v>
      </c>
      <c r="P66" s="124">
        <f t="shared" si="140"/>
        <v>0</v>
      </c>
      <c r="Q66" s="152">
        <f t="shared" si="141"/>
        <v>0</v>
      </c>
      <c r="R66" s="130">
        <f t="shared" si="142"/>
        <v>0.87770000000000004</v>
      </c>
      <c r="S66" s="166">
        <f t="shared" si="143"/>
        <v>0</v>
      </c>
      <c r="T66" s="143"/>
      <c r="U66" s="129">
        <f t="shared" si="144"/>
        <v>42461</v>
      </c>
      <c r="V66" s="124">
        <v>0</v>
      </c>
      <c r="W66" s="125">
        <f t="shared" si="145"/>
        <v>0</v>
      </c>
      <c r="X66" s="130">
        <v>0</v>
      </c>
      <c r="Y66" s="125">
        <v>0</v>
      </c>
      <c r="Z66" s="132">
        <f t="shared" si="146"/>
        <v>0</v>
      </c>
      <c r="AA66" s="130">
        <v>0.87770000000000004</v>
      </c>
      <c r="AB66" s="168">
        <f t="shared" si="147"/>
        <v>0</v>
      </c>
      <c r="AP66" s="105"/>
      <c r="BD66" s="103"/>
    </row>
    <row r="67" spans="1:56" x14ac:dyDescent="0.2">
      <c r="A67" s="282">
        <v>42552</v>
      </c>
      <c r="B67" s="283">
        <f t="shared" si="134"/>
        <v>42491</v>
      </c>
      <c r="C67" s="134"/>
      <c r="D67" s="132"/>
      <c r="E67" s="125">
        <f t="shared" si="135"/>
        <v>0</v>
      </c>
      <c r="F67" s="146">
        <f t="shared" si="148"/>
        <v>0</v>
      </c>
      <c r="G67" s="146">
        <f t="shared" si="136"/>
        <v>0</v>
      </c>
      <c r="H67" s="134">
        <v>0.86539999999999995</v>
      </c>
      <c r="I67" s="148">
        <f t="shared" si="149"/>
        <v>0</v>
      </c>
      <c r="K67" s="282">
        <f t="shared" si="137"/>
        <v>42552</v>
      </c>
      <c r="L67" s="283">
        <f t="shared" si="137"/>
        <v>42491</v>
      </c>
      <c r="M67" s="134">
        <f t="shared" si="137"/>
        <v>0</v>
      </c>
      <c r="N67" s="134">
        <f t="shared" si="138"/>
        <v>0</v>
      </c>
      <c r="O67" s="134">
        <f t="shared" si="139"/>
        <v>0</v>
      </c>
      <c r="P67" s="124">
        <f t="shared" si="140"/>
        <v>0</v>
      </c>
      <c r="Q67" s="152">
        <f t="shared" si="141"/>
        <v>0</v>
      </c>
      <c r="R67" s="130">
        <f t="shared" si="142"/>
        <v>0.86539999999999995</v>
      </c>
      <c r="S67" s="166">
        <f t="shared" si="143"/>
        <v>0</v>
      </c>
      <c r="U67" s="129">
        <f t="shared" si="144"/>
        <v>42491</v>
      </c>
      <c r="V67" s="124">
        <v>0</v>
      </c>
      <c r="W67" s="125">
        <f t="shared" si="145"/>
        <v>0</v>
      </c>
      <c r="X67" s="130">
        <v>0</v>
      </c>
      <c r="Y67" s="125">
        <v>0</v>
      </c>
      <c r="Z67" s="132">
        <f t="shared" si="146"/>
        <v>0</v>
      </c>
      <c r="AA67" s="130">
        <v>0.86539999999999995</v>
      </c>
      <c r="AB67" s="168">
        <f t="shared" si="147"/>
        <v>0</v>
      </c>
      <c r="AP67" s="105"/>
      <c r="BD67" s="103"/>
    </row>
    <row r="68" spans="1:56" x14ac:dyDescent="0.2">
      <c r="A68" s="282">
        <v>42583</v>
      </c>
      <c r="B68" s="283">
        <f t="shared" si="134"/>
        <v>42522</v>
      </c>
      <c r="C68" s="134"/>
      <c r="D68" s="132"/>
      <c r="E68" s="125">
        <f t="shared" si="135"/>
        <v>0</v>
      </c>
      <c r="F68" s="146">
        <f t="shared" si="148"/>
        <v>0</v>
      </c>
      <c r="G68" s="146">
        <f t="shared" si="136"/>
        <v>0</v>
      </c>
      <c r="H68" s="134">
        <v>0.87209999999999999</v>
      </c>
      <c r="I68" s="148">
        <f t="shared" si="149"/>
        <v>0</v>
      </c>
      <c r="K68" s="282">
        <f t="shared" si="137"/>
        <v>42583</v>
      </c>
      <c r="L68" s="283">
        <f t="shared" si="137"/>
        <v>42522</v>
      </c>
      <c r="M68" s="134">
        <f t="shared" si="137"/>
        <v>0</v>
      </c>
      <c r="N68" s="134">
        <f t="shared" si="138"/>
        <v>0</v>
      </c>
      <c r="O68" s="134">
        <f t="shared" si="139"/>
        <v>0</v>
      </c>
      <c r="P68" s="124">
        <f t="shared" si="140"/>
        <v>0</v>
      </c>
      <c r="Q68" s="152">
        <f t="shared" si="141"/>
        <v>0</v>
      </c>
      <c r="R68" s="130">
        <f t="shared" si="142"/>
        <v>0.87209999999999999</v>
      </c>
      <c r="S68" s="166">
        <f t="shared" si="143"/>
        <v>0</v>
      </c>
      <c r="U68" s="129">
        <f t="shared" si="144"/>
        <v>42522</v>
      </c>
      <c r="V68" s="124">
        <v>0</v>
      </c>
      <c r="W68" s="125">
        <f t="shared" si="145"/>
        <v>0</v>
      </c>
      <c r="X68" s="130">
        <v>0</v>
      </c>
      <c r="Y68" s="125">
        <v>0</v>
      </c>
      <c r="Z68" s="132">
        <f t="shared" si="146"/>
        <v>0</v>
      </c>
      <c r="AA68" s="130">
        <v>0.87209999999999999</v>
      </c>
      <c r="AB68" s="168">
        <f t="shared" si="147"/>
        <v>0</v>
      </c>
      <c r="AP68" s="105"/>
      <c r="BD68" s="103"/>
    </row>
    <row r="69" spans="1:56" x14ac:dyDescent="0.2">
      <c r="A69" s="282">
        <v>42614</v>
      </c>
      <c r="B69" s="283">
        <f t="shared" si="134"/>
        <v>42552</v>
      </c>
      <c r="C69" s="134">
        <v>0.1012</v>
      </c>
      <c r="D69" s="132">
        <v>1707598</v>
      </c>
      <c r="E69" s="125">
        <f t="shared" si="135"/>
        <v>1707598</v>
      </c>
      <c r="F69" s="146">
        <f t="shared" si="148"/>
        <v>0</v>
      </c>
      <c r="G69" s="146">
        <f t="shared" si="136"/>
        <v>0</v>
      </c>
      <c r="H69" s="134">
        <v>0.87360000000000004</v>
      </c>
      <c r="I69" s="148">
        <f t="shared" si="149"/>
        <v>0</v>
      </c>
      <c r="K69" s="282">
        <f t="shared" si="137"/>
        <v>42614</v>
      </c>
      <c r="L69" s="283">
        <f t="shared" si="137"/>
        <v>42552</v>
      </c>
      <c r="M69" s="134">
        <f t="shared" si="137"/>
        <v>0.1012</v>
      </c>
      <c r="N69" s="134">
        <f t="shared" si="138"/>
        <v>0.10390000000000001</v>
      </c>
      <c r="O69" s="134">
        <f t="shared" si="139"/>
        <v>2.7000000000000079E-3</v>
      </c>
      <c r="P69" s="124">
        <f t="shared" si="140"/>
        <v>1707598</v>
      </c>
      <c r="Q69" s="152">
        <f t="shared" si="141"/>
        <v>384.20955000000112</v>
      </c>
      <c r="R69" s="130">
        <f t="shared" si="142"/>
        <v>0.87360000000000004</v>
      </c>
      <c r="S69" s="166">
        <f t="shared" si="143"/>
        <v>335.64546288000099</v>
      </c>
      <c r="U69" s="129">
        <f t="shared" si="144"/>
        <v>42552</v>
      </c>
      <c r="V69" s="124">
        <v>1707598</v>
      </c>
      <c r="W69" s="125">
        <f t="shared" si="145"/>
        <v>142299.83333333334</v>
      </c>
      <c r="X69" s="130">
        <v>0.10390000000000001</v>
      </c>
      <c r="Y69" s="125">
        <v>17830.229800199999</v>
      </c>
      <c r="Z69" s="132">
        <f t="shared" si="146"/>
        <v>32615.182483533332</v>
      </c>
      <c r="AA69" s="130">
        <v>0.87360000000000004</v>
      </c>
      <c r="AB69" s="168">
        <f t="shared" si="147"/>
        <v>28492.623417614719</v>
      </c>
      <c r="AP69" s="105"/>
      <c r="BD69" s="103"/>
    </row>
    <row r="70" spans="1:56" x14ac:dyDescent="0.2">
      <c r="A70" s="282">
        <v>42644</v>
      </c>
      <c r="B70" s="283">
        <f t="shared" si="134"/>
        <v>42583</v>
      </c>
      <c r="C70" s="134">
        <v>0.1012</v>
      </c>
      <c r="D70" s="132">
        <v>2517802</v>
      </c>
      <c r="E70" s="125">
        <f t="shared" si="135"/>
        <v>2517802</v>
      </c>
      <c r="F70" s="146">
        <f t="shared" si="148"/>
        <v>0</v>
      </c>
      <c r="G70" s="171">
        <f t="shared" si="136"/>
        <v>0</v>
      </c>
      <c r="H70" s="134">
        <v>0.87890000000000001</v>
      </c>
      <c r="I70" s="172">
        <f t="shared" si="149"/>
        <v>0</v>
      </c>
      <c r="K70" s="282">
        <f t="shared" si="137"/>
        <v>42644</v>
      </c>
      <c r="L70" s="283">
        <f t="shared" si="137"/>
        <v>42583</v>
      </c>
      <c r="M70" s="134">
        <f t="shared" si="137"/>
        <v>0.1012</v>
      </c>
      <c r="N70" s="134">
        <f t="shared" si="138"/>
        <v>0.10390000000000001</v>
      </c>
      <c r="O70" s="134">
        <f t="shared" si="139"/>
        <v>2.7000000000000079E-3</v>
      </c>
      <c r="P70" s="124">
        <f t="shared" si="140"/>
        <v>2517802</v>
      </c>
      <c r="Q70" s="173">
        <f t="shared" si="141"/>
        <v>566.5054500000017</v>
      </c>
      <c r="R70" s="130">
        <f t="shared" si="142"/>
        <v>0.87890000000000001</v>
      </c>
      <c r="S70" s="175">
        <f t="shared" ref="S70" si="150">Q70*R70</f>
        <v>497.90164000500152</v>
      </c>
      <c r="U70" s="129">
        <f t="shared" si="144"/>
        <v>42583</v>
      </c>
      <c r="V70" s="124">
        <v>2517802</v>
      </c>
      <c r="W70" s="125">
        <f t="shared" si="145"/>
        <v>209816.83333333334</v>
      </c>
      <c r="X70" s="130">
        <v>0.10390000000000001</v>
      </c>
      <c r="Y70" s="125">
        <v>20313.870250099102</v>
      </c>
      <c r="Z70" s="132">
        <f t="shared" si="146"/>
        <v>42113.839233432438</v>
      </c>
      <c r="AA70" s="130">
        <v>0.87890000000000001</v>
      </c>
      <c r="AB70" s="168">
        <f t="shared" si="147"/>
        <v>37013.853302263771</v>
      </c>
      <c r="AP70" s="105"/>
      <c r="BD70" s="103"/>
    </row>
    <row r="71" spans="1:56" x14ac:dyDescent="0.2">
      <c r="A71" s="282"/>
      <c r="B71" s="283"/>
      <c r="C71" s="134"/>
      <c r="D71" s="145"/>
      <c r="E71" s="132"/>
      <c r="F71" s="132"/>
      <c r="G71" s="146">
        <f>SUM(G65:G70)</f>
        <v>0</v>
      </c>
      <c r="H71" s="134"/>
      <c r="I71" s="148">
        <f>SUM(I65:I70)</f>
        <v>0</v>
      </c>
      <c r="K71" s="282"/>
      <c r="L71" s="283"/>
      <c r="M71" s="147"/>
      <c r="N71" s="147"/>
      <c r="O71" s="147"/>
      <c r="P71" s="147"/>
      <c r="Q71" s="146">
        <f>SUM(Q65:Q70)</f>
        <v>950.71500000000287</v>
      </c>
      <c r="R71" s="147"/>
      <c r="S71" s="148">
        <f>SUM(S65:S70)</f>
        <v>833.54710288500246</v>
      </c>
      <c r="U71" s="149"/>
      <c r="V71" s="132"/>
      <c r="W71" s="147"/>
      <c r="X71" s="147"/>
      <c r="Y71" s="147"/>
      <c r="Z71" s="147"/>
      <c r="AA71" s="147"/>
      <c r="AB71" s="131"/>
      <c r="AP71" s="105"/>
      <c r="BD71" s="103"/>
    </row>
    <row r="72" spans="1:56" x14ac:dyDescent="0.2">
      <c r="A72" s="282"/>
      <c r="B72" s="283"/>
      <c r="C72" s="134"/>
      <c r="D72" s="145"/>
      <c r="E72" s="132"/>
      <c r="F72" s="132"/>
      <c r="G72" s="132"/>
      <c r="H72" s="134"/>
      <c r="I72" s="131"/>
      <c r="K72" s="282"/>
      <c r="L72" s="283"/>
      <c r="M72" s="134"/>
      <c r="N72" s="134"/>
      <c r="O72" s="134"/>
      <c r="P72" s="141"/>
      <c r="Q72" s="141"/>
      <c r="R72" s="130"/>
      <c r="S72" s="131"/>
      <c r="U72" s="149"/>
      <c r="V72" s="132"/>
      <c r="W72" s="147"/>
      <c r="X72" s="147"/>
      <c r="Y72" s="147"/>
      <c r="Z72" s="147"/>
      <c r="AA72" s="147"/>
      <c r="AB72" s="131"/>
      <c r="AP72" s="105"/>
      <c r="BD72" s="103"/>
    </row>
    <row r="73" spans="1:56" x14ac:dyDescent="0.2">
      <c r="A73" s="282">
        <v>42675</v>
      </c>
      <c r="B73" s="283">
        <f t="shared" ref="B73:B78" si="151">EDATE(A73,-2)</f>
        <v>42614</v>
      </c>
      <c r="C73" s="134">
        <v>0.1012</v>
      </c>
      <c r="D73" s="124">
        <v>2825159</v>
      </c>
      <c r="E73" s="125">
        <f t="shared" ref="E73:E78" si="152">P73</f>
        <v>2825159</v>
      </c>
      <c r="F73" s="146">
        <f>E73-D73</f>
        <v>0</v>
      </c>
      <c r="G73" s="146">
        <f t="shared" ref="G73:G78" si="153">(C73*F73)/12</f>
        <v>0</v>
      </c>
      <c r="H73" s="134">
        <v>0.89229999999999998</v>
      </c>
      <c r="I73" s="148">
        <f>G73*H73</f>
        <v>0</v>
      </c>
      <c r="K73" s="282">
        <f t="shared" ref="K73:M78" si="154">A73</f>
        <v>42675</v>
      </c>
      <c r="L73" s="283">
        <f t="shared" si="154"/>
        <v>42614</v>
      </c>
      <c r="M73" s="134">
        <f t="shared" si="154"/>
        <v>0.1012</v>
      </c>
      <c r="N73" s="134">
        <f t="shared" ref="N73:N78" si="155">X73</f>
        <v>0.1043</v>
      </c>
      <c r="O73" s="134">
        <f t="shared" ref="O73:O78" si="156">N73-M73</f>
        <v>3.1000000000000055E-3</v>
      </c>
      <c r="P73" s="124">
        <f t="shared" ref="P73:P78" si="157">V73</f>
        <v>2825159</v>
      </c>
      <c r="Q73" s="152">
        <f t="shared" ref="Q73:Q78" si="158">O73*P73/12</f>
        <v>729.83274166666797</v>
      </c>
      <c r="R73" s="130">
        <f t="shared" ref="R73:R78" si="159">H73</f>
        <v>0.89229999999999998</v>
      </c>
      <c r="S73" s="166">
        <f t="shared" ref="S73:S77" si="160">Q73*R73</f>
        <v>651.22975538916785</v>
      </c>
      <c r="U73" s="129">
        <f t="shared" ref="U73:U78" si="161">L73</f>
        <v>42614</v>
      </c>
      <c r="V73" s="124">
        <v>2825159</v>
      </c>
      <c r="W73" s="125">
        <f t="shared" ref="W73:W78" si="162">V73/12</f>
        <v>235429.91666666666</v>
      </c>
      <c r="X73" s="130">
        <f>'Q1 - KU ROR Feb17 (2016)'!$R$34</f>
        <v>0.1043</v>
      </c>
      <c r="Y73" s="124">
        <v>24443.395376364602</v>
      </c>
      <c r="Z73" s="132">
        <f t="shared" ref="Z73:Z78" si="163">(W73*X73)+Y73</f>
        <v>48998.735684697938</v>
      </c>
      <c r="AA73" s="130">
        <f t="shared" ref="AA73:AA78" si="164">R73</f>
        <v>0.89229999999999998</v>
      </c>
      <c r="AB73" s="166">
        <f t="shared" ref="AB73:AB78" si="165">Z73*AA73</f>
        <v>43721.57185145597</v>
      </c>
      <c r="AP73" s="105"/>
      <c r="BD73" s="103"/>
    </row>
    <row r="74" spans="1:56" x14ac:dyDescent="0.2">
      <c r="A74" s="282">
        <v>42705</v>
      </c>
      <c r="B74" s="283">
        <f t="shared" si="151"/>
        <v>42644</v>
      </c>
      <c r="C74" s="134">
        <v>0.1036</v>
      </c>
      <c r="D74" s="132">
        <v>4404692</v>
      </c>
      <c r="E74" s="125">
        <f t="shared" si="152"/>
        <v>4404692</v>
      </c>
      <c r="F74" s="146">
        <f t="shared" ref="F74:F78" si="166">E74-D74</f>
        <v>0</v>
      </c>
      <c r="G74" s="146">
        <f t="shared" si="153"/>
        <v>0</v>
      </c>
      <c r="H74" s="134">
        <v>0.86739999999999995</v>
      </c>
      <c r="I74" s="148">
        <f t="shared" ref="I74:I78" si="167">G74*H74</f>
        <v>0</v>
      </c>
      <c r="K74" s="282">
        <f t="shared" si="154"/>
        <v>42705</v>
      </c>
      <c r="L74" s="283">
        <f t="shared" si="154"/>
        <v>42644</v>
      </c>
      <c r="M74" s="134">
        <f t="shared" si="154"/>
        <v>0.1036</v>
      </c>
      <c r="N74" s="134">
        <f t="shared" si="155"/>
        <v>0.1043</v>
      </c>
      <c r="O74" s="134">
        <f t="shared" si="156"/>
        <v>7.0000000000000617E-4</v>
      </c>
      <c r="P74" s="124">
        <f t="shared" si="157"/>
        <v>4404692</v>
      </c>
      <c r="Q74" s="152">
        <f t="shared" si="158"/>
        <v>256.94036666666892</v>
      </c>
      <c r="R74" s="130">
        <f t="shared" si="159"/>
        <v>0.86739999999999995</v>
      </c>
      <c r="S74" s="166">
        <f t="shared" si="160"/>
        <v>222.87007404666861</v>
      </c>
      <c r="U74" s="129">
        <f t="shared" si="161"/>
        <v>42644</v>
      </c>
      <c r="V74" s="124">
        <v>4404692</v>
      </c>
      <c r="W74" s="125">
        <f t="shared" si="162"/>
        <v>367057.66666666669</v>
      </c>
      <c r="X74" s="130">
        <f>'Q1 - KU ROR Feb17 (2016)'!$R$34</f>
        <v>0.1043</v>
      </c>
      <c r="Y74" s="125">
        <v>31698.646218115449</v>
      </c>
      <c r="Z74" s="132">
        <f t="shared" si="163"/>
        <v>69982.76085144878</v>
      </c>
      <c r="AA74" s="130">
        <f t="shared" si="164"/>
        <v>0.86739999999999995</v>
      </c>
      <c r="AB74" s="168">
        <f t="shared" si="165"/>
        <v>60703.04676254667</v>
      </c>
      <c r="AP74" s="105"/>
      <c r="BD74" s="103"/>
    </row>
    <row r="75" spans="1:56" x14ac:dyDescent="0.2">
      <c r="A75" s="282">
        <v>42736</v>
      </c>
      <c r="B75" s="283">
        <f t="shared" si="151"/>
        <v>42675</v>
      </c>
      <c r="C75" s="134">
        <v>0.1036</v>
      </c>
      <c r="D75" s="132">
        <v>4656232</v>
      </c>
      <c r="E75" s="125">
        <f t="shared" si="152"/>
        <v>4656232</v>
      </c>
      <c r="F75" s="146">
        <f t="shared" si="166"/>
        <v>0</v>
      </c>
      <c r="G75" s="146">
        <f t="shared" si="153"/>
        <v>0</v>
      </c>
      <c r="H75" s="134">
        <v>0.88100000000000001</v>
      </c>
      <c r="I75" s="148">
        <f t="shared" si="167"/>
        <v>0</v>
      </c>
      <c r="K75" s="282">
        <f t="shared" si="154"/>
        <v>42736</v>
      </c>
      <c r="L75" s="283">
        <f t="shared" si="154"/>
        <v>42675</v>
      </c>
      <c r="M75" s="134">
        <f t="shared" si="154"/>
        <v>0.1036</v>
      </c>
      <c r="N75" s="134">
        <f t="shared" si="155"/>
        <v>0.1043</v>
      </c>
      <c r="O75" s="134">
        <f t="shared" si="156"/>
        <v>7.0000000000000617E-4</v>
      </c>
      <c r="P75" s="124">
        <f t="shared" si="157"/>
        <v>4656232</v>
      </c>
      <c r="Q75" s="152">
        <f t="shared" si="158"/>
        <v>271.61353333333574</v>
      </c>
      <c r="R75" s="130">
        <f t="shared" si="159"/>
        <v>0.88100000000000001</v>
      </c>
      <c r="S75" s="166">
        <f t="shared" si="160"/>
        <v>239.2915228666688</v>
      </c>
      <c r="U75" s="129">
        <f t="shared" si="161"/>
        <v>42675</v>
      </c>
      <c r="V75" s="124">
        <v>4656232</v>
      </c>
      <c r="W75" s="125">
        <f t="shared" si="162"/>
        <v>388019.33333333331</v>
      </c>
      <c r="X75" s="130">
        <f>'Q1 - KU ROR Feb17 (2016)'!$R$34</f>
        <v>0.1043</v>
      </c>
      <c r="Y75" s="125">
        <v>35728.089842299974</v>
      </c>
      <c r="Z75" s="132">
        <f t="shared" si="163"/>
        <v>76198.506308966636</v>
      </c>
      <c r="AA75" s="130">
        <f t="shared" si="164"/>
        <v>0.88100000000000001</v>
      </c>
      <c r="AB75" s="168">
        <f t="shared" si="165"/>
        <v>67130.884058199605</v>
      </c>
      <c r="AP75" s="105"/>
      <c r="BD75" s="103"/>
    </row>
    <row r="76" spans="1:56" x14ac:dyDescent="0.2">
      <c r="A76" s="282">
        <v>42767</v>
      </c>
      <c r="B76" s="283">
        <f t="shared" si="151"/>
        <v>42705</v>
      </c>
      <c r="C76" s="134">
        <v>0.1036</v>
      </c>
      <c r="D76" s="132">
        <v>5170879</v>
      </c>
      <c r="E76" s="125">
        <f t="shared" si="152"/>
        <v>5170879</v>
      </c>
      <c r="F76" s="146">
        <f t="shared" si="166"/>
        <v>0</v>
      </c>
      <c r="G76" s="146">
        <f t="shared" si="153"/>
        <v>0</v>
      </c>
      <c r="H76" s="134">
        <v>0.88339999999999996</v>
      </c>
      <c r="I76" s="148">
        <f t="shared" si="167"/>
        <v>0</v>
      </c>
      <c r="K76" s="282">
        <f t="shared" si="154"/>
        <v>42767</v>
      </c>
      <c r="L76" s="283">
        <f t="shared" si="154"/>
        <v>42705</v>
      </c>
      <c r="M76" s="134">
        <f t="shared" si="154"/>
        <v>0.1036</v>
      </c>
      <c r="N76" s="134">
        <f t="shared" si="155"/>
        <v>0.1043</v>
      </c>
      <c r="O76" s="134">
        <f t="shared" si="156"/>
        <v>7.0000000000000617E-4</v>
      </c>
      <c r="P76" s="124">
        <f t="shared" si="157"/>
        <v>5170879</v>
      </c>
      <c r="Q76" s="152">
        <f t="shared" si="158"/>
        <v>301.63460833333596</v>
      </c>
      <c r="R76" s="130">
        <f t="shared" si="159"/>
        <v>0.88339999999999996</v>
      </c>
      <c r="S76" s="166">
        <f t="shared" si="160"/>
        <v>266.464013001669</v>
      </c>
      <c r="U76" s="129">
        <f t="shared" si="161"/>
        <v>42705</v>
      </c>
      <c r="V76" s="124">
        <v>5170879</v>
      </c>
      <c r="W76" s="125">
        <f t="shared" si="162"/>
        <v>430906.58333333331</v>
      </c>
      <c r="X76" s="130">
        <f>'Q1 - KU ROR Feb17 (2016)'!$R$34</f>
        <v>0.1043</v>
      </c>
      <c r="Y76" s="125">
        <v>39199.06</v>
      </c>
      <c r="Z76" s="132">
        <f t="shared" si="163"/>
        <v>84142.616641666667</v>
      </c>
      <c r="AA76" s="130">
        <f t="shared" si="164"/>
        <v>0.88339999999999996</v>
      </c>
      <c r="AB76" s="168">
        <f t="shared" si="165"/>
        <v>74331.587541248329</v>
      </c>
      <c r="AP76" s="105"/>
      <c r="BD76" s="103"/>
    </row>
    <row r="77" spans="1:56" x14ac:dyDescent="0.2">
      <c r="A77" s="282">
        <v>42795</v>
      </c>
      <c r="B77" s="283">
        <f t="shared" si="151"/>
        <v>42736</v>
      </c>
      <c r="C77" s="134">
        <v>0.1036</v>
      </c>
      <c r="D77" s="132">
        <v>5870726</v>
      </c>
      <c r="E77" s="125">
        <f t="shared" si="152"/>
        <v>5870726</v>
      </c>
      <c r="F77" s="146">
        <f t="shared" si="166"/>
        <v>0</v>
      </c>
      <c r="G77" s="146">
        <f t="shared" si="153"/>
        <v>0</v>
      </c>
      <c r="H77" s="134">
        <v>0.87670000000000003</v>
      </c>
      <c r="I77" s="148">
        <f t="shared" si="167"/>
        <v>0</v>
      </c>
      <c r="K77" s="282">
        <f t="shared" si="154"/>
        <v>42795</v>
      </c>
      <c r="L77" s="283">
        <f t="shared" si="154"/>
        <v>42736</v>
      </c>
      <c r="M77" s="134">
        <f t="shared" si="154"/>
        <v>0.1036</v>
      </c>
      <c r="N77" s="134">
        <f t="shared" si="155"/>
        <v>0.1043</v>
      </c>
      <c r="O77" s="134">
        <f t="shared" si="156"/>
        <v>7.0000000000000617E-4</v>
      </c>
      <c r="P77" s="124">
        <f t="shared" si="157"/>
        <v>5870726</v>
      </c>
      <c r="Q77" s="152">
        <f t="shared" si="158"/>
        <v>342.4590166666697</v>
      </c>
      <c r="R77" s="130">
        <f t="shared" si="159"/>
        <v>0.87670000000000003</v>
      </c>
      <c r="S77" s="166">
        <f t="shared" si="160"/>
        <v>300.23381991166934</v>
      </c>
      <c r="U77" s="129">
        <f t="shared" si="161"/>
        <v>42736</v>
      </c>
      <c r="V77" s="124">
        <v>5870726</v>
      </c>
      <c r="W77" s="125">
        <f t="shared" si="162"/>
        <v>489227.16666666669</v>
      </c>
      <c r="X77" s="130">
        <f>'Q1 - KU ROR Feb17 (2016)'!$R$34</f>
        <v>0.1043</v>
      </c>
      <c r="Y77" s="125">
        <v>43059.418587540276</v>
      </c>
      <c r="Z77" s="132">
        <f t="shared" si="163"/>
        <v>94085.812070873624</v>
      </c>
      <c r="AA77" s="130">
        <f t="shared" si="164"/>
        <v>0.87670000000000003</v>
      </c>
      <c r="AB77" s="168">
        <f t="shared" si="165"/>
        <v>82485.031442534906</v>
      </c>
      <c r="AP77" s="105"/>
      <c r="BD77" s="103"/>
    </row>
    <row r="78" spans="1:56" x14ac:dyDescent="0.2">
      <c r="A78" s="282">
        <v>42826</v>
      </c>
      <c r="B78" s="283">
        <f t="shared" si="151"/>
        <v>42767</v>
      </c>
      <c r="C78" s="134">
        <v>0.1036</v>
      </c>
      <c r="D78" s="132">
        <v>8063419</v>
      </c>
      <c r="E78" s="125">
        <f t="shared" si="152"/>
        <v>8063419</v>
      </c>
      <c r="F78" s="146">
        <f t="shared" si="166"/>
        <v>0</v>
      </c>
      <c r="G78" s="171">
        <f t="shared" si="153"/>
        <v>0</v>
      </c>
      <c r="H78" s="134">
        <v>0.87990000000000002</v>
      </c>
      <c r="I78" s="172">
        <f t="shared" si="167"/>
        <v>0</v>
      </c>
      <c r="K78" s="282">
        <f t="shared" si="154"/>
        <v>42826</v>
      </c>
      <c r="L78" s="283">
        <f t="shared" si="154"/>
        <v>42767</v>
      </c>
      <c r="M78" s="134">
        <f t="shared" si="154"/>
        <v>0.1036</v>
      </c>
      <c r="N78" s="134">
        <f t="shared" si="155"/>
        <v>0.1043</v>
      </c>
      <c r="O78" s="134">
        <f t="shared" si="156"/>
        <v>7.0000000000000617E-4</v>
      </c>
      <c r="P78" s="124">
        <f t="shared" si="157"/>
        <v>8063419</v>
      </c>
      <c r="Q78" s="173">
        <f t="shared" si="158"/>
        <v>470.36610833333748</v>
      </c>
      <c r="R78" s="130">
        <f t="shared" si="159"/>
        <v>0.87990000000000002</v>
      </c>
      <c r="S78" s="175">
        <f t="shared" ref="S78" si="168">Q78*R78</f>
        <v>413.87513872250366</v>
      </c>
      <c r="U78" s="129">
        <f t="shared" si="161"/>
        <v>42767</v>
      </c>
      <c r="V78" s="124">
        <v>8063419</v>
      </c>
      <c r="W78" s="125">
        <f t="shared" si="162"/>
        <v>671951.58333333337</v>
      </c>
      <c r="X78" s="130">
        <f>'Q1 - KU ROR Feb17 (2016)'!$R$34</f>
        <v>0.1043</v>
      </c>
      <c r="Y78" s="125">
        <v>48428.093623331151</v>
      </c>
      <c r="Z78" s="132">
        <f t="shared" si="163"/>
        <v>118512.64376499782</v>
      </c>
      <c r="AA78" s="130">
        <f t="shared" si="164"/>
        <v>0.87990000000000002</v>
      </c>
      <c r="AB78" s="168">
        <f t="shared" si="165"/>
        <v>104279.27524882158</v>
      </c>
      <c r="AP78" s="105"/>
      <c r="BD78" s="103"/>
    </row>
    <row r="79" spans="1:56" x14ac:dyDescent="0.2">
      <c r="A79" s="138"/>
      <c r="B79" s="139"/>
      <c r="C79" s="134"/>
      <c r="D79" s="134"/>
      <c r="E79" s="145"/>
      <c r="F79" s="132"/>
      <c r="G79" s="146">
        <f>SUM(G73:G78)</f>
        <v>0</v>
      </c>
      <c r="H79" s="146"/>
      <c r="I79" s="148">
        <f>SUM(I73:I78)</f>
        <v>0</v>
      </c>
      <c r="J79"/>
      <c r="K79" s="138"/>
      <c r="L79" s="139"/>
      <c r="M79" s="147"/>
      <c r="N79" s="147"/>
      <c r="O79" s="147"/>
      <c r="P79" s="147"/>
      <c r="Q79" s="146">
        <f>SUM(Q73:Q78)</f>
        <v>2372.8463750000155</v>
      </c>
      <c r="R79" s="147"/>
      <c r="S79" s="148">
        <f>SUM(S73:S78)</f>
        <v>2093.9643239383472</v>
      </c>
      <c r="U79" s="149"/>
      <c r="V79" s="132"/>
      <c r="W79" s="147"/>
      <c r="X79" s="147"/>
      <c r="Y79" s="125"/>
      <c r="Z79" s="147"/>
      <c r="AA79" s="147"/>
      <c r="AB79" s="131"/>
      <c r="AR79" s="105"/>
      <c r="BD79" s="103"/>
    </row>
    <row r="80" spans="1:56" ht="13.5" thickBot="1" x14ac:dyDescent="0.25">
      <c r="A80" s="158"/>
      <c r="B80" s="159"/>
      <c r="C80" s="159"/>
      <c r="D80" s="159"/>
      <c r="E80" s="159"/>
      <c r="F80" s="159"/>
      <c r="G80" s="159"/>
      <c r="H80" s="159"/>
      <c r="I80" s="160"/>
      <c r="J80"/>
      <c r="K80" s="158"/>
      <c r="L80" s="159"/>
      <c r="M80" s="159"/>
      <c r="N80" s="159"/>
      <c r="O80" s="159"/>
      <c r="P80" s="159"/>
      <c r="Q80" s="159"/>
      <c r="R80" s="159"/>
      <c r="S80" s="160"/>
      <c r="U80" s="158"/>
      <c r="V80" s="159"/>
      <c r="W80" s="159"/>
      <c r="X80" s="161"/>
      <c r="Y80" s="162"/>
      <c r="Z80" s="159"/>
      <c r="AA80" s="159"/>
      <c r="AB80" s="160"/>
      <c r="AR80" s="105"/>
      <c r="BD80" s="103"/>
    </row>
    <row r="81" spans="10:11" x14ac:dyDescent="0.2">
      <c r="J81"/>
      <c r="K81"/>
    </row>
  </sheetData>
  <phoneticPr fontId="6" type="noConversion"/>
  <printOptions horizontalCentered="1"/>
  <pageMargins left="0.25" right="0.25" top="0.75" bottom="0.5" header="0.5" footer="0.5"/>
  <pageSetup scale="60" orientation="portrait" r:id="rId1"/>
  <headerFooter alignWithMargins="0"/>
  <colBreaks count="2" manualBreakCount="2">
    <brk id="15" max="79" man="1"/>
    <brk id="30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63"/>
  <sheetViews>
    <sheetView zoomScaleNormal="100" workbookViewId="0"/>
  </sheetViews>
  <sheetFormatPr defaultRowHeight="12.75" x14ac:dyDescent="0.2"/>
  <cols>
    <col min="1" max="1" width="5.5" style="4" customWidth="1"/>
    <col min="2" max="2" width="11.5" style="4" customWidth="1"/>
    <col min="3" max="3" width="13.33203125" style="4" customWidth="1"/>
    <col min="4" max="4" width="15.1640625" style="4" customWidth="1"/>
    <col min="5" max="5" width="15" style="4" customWidth="1"/>
    <col min="6" max="6" width="14.33203125" style="4" customWidth="1"/>
    <col min="7" max="7" width="16.5" style="4" customWidth="1"/>
    <col min="8" max="8" width="15.33203125" style="4" customWidth="1"/>
    <col min="9" max="9" width="14.3320312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8" ht="12.75" customHeight="1" x14ac:dyDescent="0.3">
      <c r="A1" s="90" t="s">
        <v>31</v>
      </c>
      <c r="B1" s="3"/>
      <c r="J1" s="1" t="s">
        <v>33</v>
      </c>
    </row>
    <row r="2" spans="1:28" ht="12.75" customHeight="1" x14ac:dyDescent="0.3">
      <c r="A2" s="90" t="s">
        <v>48</v>
      </c>
      <c r="B2" s="3"/>
      <c r="J2" s="1" t="s">
        <v>208</v>
      </c>
    </row>
    <row r="3" spans="1:28" ht="12.75" customHeight="1" x14ac:dyDescent="0.3">
      <c r="A3" s="91" t="s">
        <v>115</v>
      </c>
      <c r="B3" s="3"/>
      <c r="J3" s="2" t="s">
        <v>108</v>
      </c>
    </row>
    <row r="4" spans="1:28" ht="12.75" customHeight="1" x14ac:dyDescent="0.3">
      <c r="A4" s="91"/>
      <c r="B4" s="3"/>
      <c r="J4" s="2"/>
    </row>
    <row r="5" spans="1:28" ht="12.75" customHeight="1" x14ac:dyDescent="0.3">
      <c r="A5" s="91" t="s">
        <v>116</v>
      </c>
      <c r="B5" s="3"/>
      <c r="J5" s="2"/>
    </row>
    <row r="7" spans="1:28" s="5" customFormat="1" x14ac:dyDescent="0.2">
      <c r="B7" s="6">
        <v>-1</v>
      </c>
      <c r="C7" s="6">
        <f t="shared" ref="C7:J7" si="0">+B7-1</f>
        <v>-2</v>
      </c>
      <c r="D7" s="6">
        <f t="shared" si="0"/>
        <v>-3</v>
      </c>
      <c r="E7" s="6">
        <f t="shared" si="0"/>
        <v>-4</v>
      </c>
      <c r="F7" s="6">
        <f t="shared" si="0"/>
        <v>-5</v>
      </c>
      <c r="G7" s="6">
        <f t="shared" si="0"/>
        <v>-6</v>
      </c>
      <c r="H7" s="6">
        <f t="shared" si="0"/>
        <v>-7</v>
      </c>
      <c r="I7" s="6">
        <f t="shared" si="0"/>
        <v>-8</v>
      </c>
      <c r="J7" s="6">
        <f t="shared" si="0"/>
        <v>-9</v>
      </c>
      <c r="L7"/>
      <c r="M7"/>
      <c r="N7"/>
      <c r="O7"/>
      <c r="P7"/>
      <c r="Q7"/>
      <c r="R7"/>
      <c r="S7"/>
      <c r="T7"/>
      <c r="U7"/>
      <c r="V7" s="7"/>
      <c r="W7" s="7"/>
      <c r="X7" s="7"/>
    </row>
    <row r="8" spans="1:28" ht="38.25" x14ac:dyDescent="0.2">
      <c r="B8" s="8" t="s">
        <v>0</v>
      </c>
      <c r="C8" s="8" t="s">
        <v>1</v>
      </c>
      <c r="D8" s="8" t="s">
        <v>2</v>
      </c>
      <c r="E8" s="8" t="s">
        <v>9</v>
      </c>
      <c r="F8" s="8" t="s">
        <v>10</v>
      </c>
      <c r="G8" s="8" t="s">
        <v>16</v>
      </c>
      <c r="H8" s="8" t="s">
        <v>49</v>
      </c>
      <c r="I8" s="9" t="s">
        <v>50</v>
      </c>
      <c r="J8" s="9" t="s">
        <v>51</v>
      </c>
      <c r="V8" s="7"/>
      <c r="W8" s="7"/>
      <c r="X8" s="7"/>
    </row>
    <row r="9" spans="1:28" x14ac:dyDescent="0.2">
      <c r="B9" s="10"/>
      <c r="C9" s="10"/>
      <c r="D9" s="11"/>
      <c r="E9" s="5"/>
      <c r="F9" s="12" t="s">
        <v>11</v>
      </c>
      <c r="G9" s="10"/>
      <c r="H9" s="5" t="s">
        <v>12</v>
      </c>
      <c r="I9" s="10"/>
      <c r="J9" s="5" t="s">
        <v>6</v>
      </c>
      <c r="V9" s="7"/>
      <c r="W9" s="7"/>
      <c r="X9" s="7"/>
    </row>
    <row r="10" spans="1:28" x14ac:dyDescent="0.2">
      <c r="B10" s="10"/>
      <c r="C10" s="10"/>
      <c r="D10" s="11"/>
      <c r="E10" s="5"/>
      <c r="F10" s="12"/>
      <c r="G10" s="10"/>
      <c r="H10" s="5"/>
      <c r="I10" s="10"/>
      <c r="J10" s="5"/>
      <c r="V10" s="7"/>
      <c r="W10" s="7"/>
      <c r="X10" s="7"/>
    </row>
    <row r="11" spans="1:28" x14ac:dyDescent="0.2">
      <c r="B11" s="292">
        <f>'Q1-Q2 KU Over-Under Calc'!A34</f>
        <v>42675</v>
      </c>
      <c r="C11" s="292">
        <f>'Q1-Q2 KU Over-Under Calc'!B34</f>
        <v>42614</v>
      </c>
      <c r="D11" s="14">
        <f>'Q1-Q2 KU Over-Under Calc'!C34</f>
        <v>0.10299999999999999</v>
      </c>
      <c r="E11" s="15">
        <f>'Q1-Q2 KU Over-Under Calc'!N34</f>
        <v>0.1061</v>
      </c>
      <c r="F11" s="16">
        <f t="shared" ref="F11:F16" si="1">E11-D11</f>
        <v>3.1000000000000055E-3</v>
      </c>
      <c r="G11" s="95">
        <f>'Q1-Q2 KU Over-Under Calc'!E34</f>
        <v>1059036126</v>
      </c>
      <c r="H11" s="95">
        <f t="shared" ref="H11:H16" si="2">(F11*G11)/12</f>
        <v>273584.33255000046</v>
      </c>
      <c r="I11" s="14">
        <f>'Q1-Q2 KU Over-Under Calc'!H34</f>
        <v>0.89229999999999998</v>
      </c>
      <c r="J11" s="95">
        <f t="shared" ref="J11:J16" si="3">+H11*I11</f>
        <v>244119.29993436541</v>
      </c>
      <c r="V11" s="18"/>
      <c r="W11" s="18"/>
      <c r="X11" s="7"/>
    </row>
    <row r="12" spans="1:28" x14ac:dyDescent="0.2">
      <c r="B12" s="292">
        <f>'Q1-Q2 KU Over-Under Calc'!A35</f>
        <v>42705</v>
      </c>
      <c r="C12" s="292">
        <f>'Q1-Q2 KU Over-Under Calc'!B35</f>
        <v>42644</v>
      </c>
      <c r="D12" s="14">
        <f>'Q1-Q2 KU Over-Under Calc'!C35</f>
        <v>0.10539999999999999</v>
      </c>
      <c r="E12" s="15">
        <f>'Q1-Q2 KU Over-Under Calc'!N35</f>
        <v>0.1061</v>
      </c>
      <c r="F12" s="16">
        <f t="shared" si="1"/>
        <v>7.0000000000000617E-4</v>
      </c>
      <c r="G12" s="96">
        <f>'Q1-Q2 KU Over-Under Calc'!E35</f>
        <v>1053111591</v>
      </c>
      <c r="H12" s="96">
        <f t="shared" si="2"/>
        <v>61431.509475000545</v>
      </c>
      <c r="I12" s="14">
        <f>'Q1-Q2 KU Over-Under Calc'!H35</f>
        <v>0.86739999999999995</v>
      </c>
      <c r="J12" s="96">
        <f t="shared" si="3"/>
        <v>53285.691318615471</v>
      </c>
      <c r="V12" s="18"/>
      <c r="W12" s="18"/>
      <c r="X12" s="7"/>
    </row>
    <row r="13" spans="1:28" x14ac:dyDescent="0.2">
      <c r="B13" s="292">
        <f>'Q1-Q2 KU Over-Under Calc'!A36</f>
        <v>42736</v>
      </c>
      <c r="C13" s="292">
        <f>'Q1-Q2 KU Over-Under Calc'!B36</f>
        <v>42675</v>
      </c>
      <c r="D13" s="14">
        <f>'Q1-Q2 KU Over-Under Calc'!C36</f>
        <v>0.10539999999999999</v>
      </c>
      <c r="E13" s="15">
        <f>'Q1-Q2 KU Over-Under Calc'!N36</f>
        <v>0.1061</v>
      </c>
      <c r="F13" s="16">
        <f t="shared" si="1"/>
        <v>7.0000000000000617E-4</v>
      </c>
      <c r="G13" s="96">
        <f>'Q1-Q2 KU Over-Under Calc'!E36</f>
        <v>1048785846</v>
      </c>
      <c r="H13" s="96">
        <f t="shared" si="2"/>
        <v>61179.17435000054</v>
      </c>
      <c r="I13" s="14">
        <f>'Q1-Q2 KU Over-Under Calc'!H36</f>
        <v>0.88100000000000001</v>
      </c>
      <c r="J13" s="96">
        <f t="shared" si="3"/>
        <v>53898.852602350475</v>
      </c>
      <c r="V13" s="18"/>
      <c r="W13" s="18"/>
      <c r="X13" s="7"/>
    </row>
    <row r="14" spans="1:28" x14ac:dyDescent="0.2">
      <c r="B14" s="292">
        <f>'Q1-Q2 KU Over-Under Calc'!A37</f>
        <v>42767</v>
      </c>
      <c r="C14" s="292">
        <f>'Q1-Q2 KU Over-Under Calc'!B37</f>
        <v>42705</v>
      </c>
      <c r="D14" s="14">
        <f>'Q1-Q2 KU Over-Under Calc'!C37</f>
        <v>0.10539999999999999</v>
      </c>
      <c r="E14" s="15">
        <f>'Q1-Q2 KU Over-Under Calc'!N37</f>
        <v>0.1061</v>
      </c>
      <c r="F14" s="16">
        <f t="shared" si="1"/>
        <v>7.0000000000000617E-4</v>
      </c>
      <c r="G14" s="96">
        <f>'Q1-Q2 KU Over-Under Calc'!E37</f>
        <v>1043965453</v>
      </c>
      <c r="H14" s="96">
        <f t="shared" si="2"/>
        <v>60897.984758333863</v>
      </c>
      <c r="I14" s="14">
        <f>'Q1-Q2 KU Over-Under Calc'!H37</f>
        <v>0.88339999999999996</v>
      </c>
      <c r="J14" s="96">
        <f t="shared" si="3"/>
        <v>53797.279735512129</v>
      </c>
      <c r="V14" s="18"/>
      <c r="W14" s="18"/>
      <c r="X14" s="7"/>
      <c r="Y14" s="20"/>
      <c r="Z14" s="21"/>
      <c r="AB14" s="22"/>
    </row>
    <row r="15" spans="1:28" x14ac:dyDescent="0.2">
      <c r="B15" s="292">
        <f>'Q1-Q2 KU Over-Under Calc'!A38</f>
        <v>42795</v>
      </c>
      <c r="C15" s="292">
        <f>'Q1-Q2 KU Over-Under Calc'!B38</f>
        <v>42736</v>
      </c>
      <c r="D15" s="14">
        <f>'Q1-Q2 KU Over-Under Calc'!C38</f>
        <v>0.10539999999999999</v>
      </c>
      <c r="E15" s="15">
        <f>'Q1-Q2 KU Over-Under Calc'!N38</f>
        <v>0.1061</v>
      </c>
      <c r="F15" s="16">
        <f t="shared" si="1"/>
        <v>7.0000000000000617E-4</v>
      </c>
      <c r="G15" s="96">
        <f>'Q1-Q2 KU Over-Under Calc'!E38</f>
        <v>1044084887</v>
      </c>
      <c r="H15" s="96">
        <f t="shared" si="2"/>
        <v>60904.951741667202</v>
      </c>
      <c r="I15" s="14">
        <f>'Q1-Q2 KU Over-Under Calc'!H38</f>
        <v>0.87670000000000003</v>
      </c>
      <c r="J15" s="96">
        <f t="shared" si="3"/>
        <v>53395.371191919636</v>
      </c>
      <c r="V15" s="18"/>
      <c r="W15" s="18"/>
      <c r="X15" s="7"/>
      <c r="Y15" s="20"/>
      <c r="Z15" s="21"/>
      <c r="AB15" s="22"/>
    </row>
    <row r="16" spans="1:28" x14ac:dyDescent="0.2">
      <c r="B16" s="292">
        <f>'Q1-Q2 KU Over-Under Calc'!A39</f>
        <v>42826</v>
      </c>
      <c r="C16" s="292">
        <f>'Q1-Q2 KU Over-Under Calc'!B39</f>
        <v>42767</v>
      </c>
      <c r="D16" s="14">
        <f>'Q1-Q2 KU Over-Under Calc'!C39</f>
        <v>0.10539999999999999</v>
      </c>
      <c r="E16" s="15">
        <f>'Q1-Q2 KU Over-Under Calc'!N39</f>
        <v>0.1061</v>
      </c>
      <c r="F16" s="16">
        <f t="shared" si="1"/>
        <v>7.0000000000000617E-4</v>
      </c>
      <c r="G16" s="96">
        <f>'Q1-Q2 KU Over-Under Calc'!E39</f>
        <v>1044537650</v>
      </c>
      <c r="H16" s="99">
        <f t="shared" si="2"/>
        <v>60931.362916667211</v>
      </c>
      <c r="I16" s="14">
        <f>'Q1-Q2 KU Over-Under Calc'!H39</f>
        <v>0.87990000000000002</v>
      </c>
      <c r="J16" s="99">
        <f t="shared" si="3"/>
        <v>53613.506230375482</v>
      </c>
      <c r="V16" s="18"/>
      <c r="W16" s="18"/>
      <c r="X16" s="7"/>
      <c r="Y16" s="20"/>
      <c r="AA16" s="22"/>
    </row>
    <row r="17" spans="1:28" x14ac:dyDescent="0.2">
      <c r="B17" s="13"/>
      <c r="C17" s="13"/>
      <c r="H17" s="95">
        <f>SUM(H11:H16)</f>
        <v>578929.31579166988</v>
      </c>
      <c r="J17" s="95">
        <f>SUM(J11:J16)</f>
        <v>512110.00101313868</v>
      </c>
      <c r="V17" s="7"/>
      <c r="W17" s="7"/>
      <c r="X17" s="7"/>
      <c r="AA17" s="22"/>
      <c r="AB17" s="22"/>
    </row>
    <row r="18" spans="1:28" x14ac:dyDescent="0.2">
      <c r="B18" s="13"/>
      <c r="C18" s="13"/>
      <c r="H18" s="95"/>
      <c r="J18" s="95"/>
      <c r="V18" s="7"/>
      <c r="W18" s="7"/>
      <c r="X18" s="7"/>
      <c r="AA18" s="22"/>
      <c r="AB18" s="22"/>
    </row>
    <row r="19" spans="1:28" x14ac:dyDescent="0.2">
      <c r="A19" s="90" t="s">
        <v>117</v>
      </c>
      <c r="B19" s="13"/>
      <c r="C19" s="13"/>
      <c r="H19" s="95"/>
      <c r="J19" s="95"/>
      <c r="V19" s="7"/>
      <c r="W19" s="7"/>
      <c r="X19" s="7"/>
      <c r="AA19" s="22"/>
      <c r="AB19" s="22"/>
    </row>
    <row r="20" spans="1:28" x14ac:dyDescent="0.2">
      <c r="B20" s="13"/>
      <c r="C20" s="13"/>
      <c r="H20" s="95"/>
      <c r="J20" s="95"/>
      <c r="V20" s="7"/>
      <c r="W20" s="7"/>
      <c r="X20" s="7"/>
      <c r="AA20" s="22"/>
      <c r="AB20" s="22"/>
    </row>
    <row r="21" spans="1:28" x14ac:dyDescent="0.2">
      <c r="B21" s="6">
        <v>-1</v>
      </c>
      <c r="C21" s="6">
        <f t="shared" ref="C21" si="4">+B21-1</f>
        <v>-2</v>
      </c>
      <c r="D21" s="6">
        <f t="shared" ref="D21" si="5">+C21-1</f>
        <v>-3</v>
      </c>
      <c r="E21" s="6">
        <f t="shared" ref="E21" si="6">+D21-1</f>
        <v>-4</v>
      </c>
      <c r="F21" s="6">
        <f t="shared" ref="F21" si="7">+E21-1</f>
        <v>-5</v>
      </c>
      <c r="G21" s="6">
        <f t="shared" ref="G21" si="8">+F21-1</f>
        <v>-6</v>
      </c>
      <c r="H21" s="6">
        <f t="shared" ref="H21" si="9">+G21-1</f>
        <v>-7</v>
      </c>
      <c r="I21" s="6">
        <f t="shared" ref="I21" si="10">+H21-1</f>
        <v>-8</v>
      </c>
      <c r="J21" s="6">
        <f t="shared" ref="J21" si="11">+I21-1</f>
        <v>-9</v>
      </c>
      <c r="V21" s="7"/>
      <c r="W21" s="7"/>
      <c r="X21" s="7"/>
      <c r="AA21" s="22"/>
      <c r="AB21" s="22"/>
    </row>
    <row r="22" spans="1:28" ht="38.25" x14ac:dyDescent="0.2">
      <c r="B22" s="8" t="s">
        <v>0</v>
      </c>
      <c r="C22" s="8" t="s">
        <v>1</v>
      </c>
      <c r="D22" s="8" t="s">
        <v>2</v>
      </c>
      <c r="E22" s="8" t="s">
        <v>9</v>
      </c>
      <c r="F22" s="8" t="s">
        <v>10</v>
      </c>
      <c r="G22" s="8" t="s">
        <v>16</v>
      </c>
      <c r="H22" s="8" t="s">
        <v>49</v>
      </c>
      <c r="I22" s="9" t="s">
        <v>50</v>
      </c>
      <c r="J22" s="9" t="s">
        <v>51</v>
      </c>
      <c r="V22" s="7"/>
      <c r="W22" s="7"/>
      <c r="X22" s="7"/>
      <c r="AA22" s="22"/>
      <c r="AB22" s="22"/>
    </row>
    <row r="23" spans="1:28" x14ac:dyDescent="0.2">
      <c r="B23" s="10"/>
      <c r="C23" s="10"/>
      <c r="D23" s="11"/>
      <c r="E23" s="92"/>
      <c r="F23" s="93" t="s">
        <v>11</v>
      </c>
      <c r="G23" s="10"/>
      <c r="H23" s="92" t="s">
        <v>12</v>
      </c>
      <c r="I23" s="10"/>
      <c r="J23" s="92" t="s">
        <v>6</v>
      </c>
      <c r="V23" s="7"/>
      <c r="W23" s="7"/>
      <c r="X23" s="7"/>
      <c r="AA23" s="22"/>
      <c r="AB23" s="22"/>
    </row>
    <row r="24" spans="1:28" x14ac:dyDescent="0.2">
      <c r="B24" s="10"/>
      <c r="C24" s="10"/>
      <c r="D24" s="11"/>
      <c r="E24" s="92"/>
      <c r="F24" s="93"/>
      <c r="G24" s="10"/>
      <c r="H24" s="92"/>
      <c r="I24" s="10"/>
      <c r="J24" s="92"/>
      <c r="V24" s="7"/>
      <c r="W24" s="7"/>
      <c r="X24" s="7"/>
      <c r="AA24" s="22"/>
      <c r="AB24" s="22"/>
    </row>
    <row r="25" spans="1:28" x14ac:dyDescent="0.2">
      <c r="B25" s="292">
        <f>'Q1-Q2 KU Over-Under Calc'!A73</f>
        <v>42675</v>
      </c>
      <c r="C25" s="292">
        <f>'Q1-Q2 KU Over-Under Calc'!B73</f>
        <v>42614</v>
      </c>
      <c r="D25" s="14">
        <f>'Q1-Q2 KU Over-Under Calc'!C73</f>
        <v>0.1012</v>
      </c>
      <c r="E25" s="15">
        <f>'Q1-Q2 KU Over-Under Calc'!N73</f>
        <v>0.1043</v>
      </c>
      <c r="F25" s="16">
        <f t="shared" ref="F25:F30" si="12">E25-D25</f>
        <v>3.1000000000000055E-3</v>
      </c>
      <c r="G25" s="95">
        <f>'Q1-Q2 KU Over-Under Calc'!E73</f>
        <v>2825159</v>
      </c>
      <c r="H25" s="95">
        <f t="shared" ref="H25:H30" si="13">(F25*G25)/12</f>
        <v>729.83274166666797</v>
      </c>
      <c r="I25" s="14">
        <f>'Q1-Q2 KU Over-Under Calc'!H73</f>
        <v>0.89229999999999998</v>
      </c>
      <c r="J25" s="95">
        <f t="shared" ref="J25:J30" si="14">+H25*I25</f>
        <v>651.22975538916785</v>
      </c>
      <c r="V25" s="7"/>
      <c r="W25" s="7"/>
      <c r="X25" s="7"/>
      <c r="AA25" s="22"/>
      <c r="AB25" s="22"/>
    </row>
    <row r="26" spans="1:28" x14ac:dyDescent="0.2">
      <c r="B26" s="292">
        <f>'Q1-Q2 KU Over-Under Calc'!A74</f>
        <v>42705</v>
      </c>
      <c r="C26" s="292">
        <f>'Q1-Q2 KU Over-Under Calc'!B74</f>
        <v>42644</v>
      </c>
      <c r="D26" s="14">
        <f>'Q1-Q2 KU Over-Under Calc'!C74</f>
        <v>0.1036</v>
      </c>
      <c r="E26" s="15">
        <f>'Q1-Q2 KU Over-Under Calc'!N74</f>
        <v>0.1043</v>
      </c>
      <c r="F26" s="16">
        <f t="shared" si="12"/>
        <v>7.0000000000000617E-4</v>
      </c>
      <c r="G26" s="95">
        <f>'Q1-Q2 KU Over-Under Calc'!E74</f>
        <v>4404692</v>
      </c>
      <c r="H26" s="96">
        <f t="shared" si="13"/>
        <v>256.94036666666892</v>
      </c>
      <c r="I26" s="14">
        <f>'Q1-Q2 KU Over-Under Calc'!H74</f>
        <v>0.86739999999999995</v>
      </c>
      <c r="J26" s="96">
        <f t="shared" si="14"/>
        <v>222.87007404666861</v>
      </c>
      <c r="V26" s="7"/>
      <c r="W26" s="7"/>
      <c r="X26" s="7"/>
      <c r="AA26" s="22"/>
      <c r="AB26" s="22"/>
    </row>
    <row r="27" spans="1:28" x14ac:dyDescent="0.2">
      <c r="B27" s="292">
        <f>'Q1-Q2 KU Over-Under Calc'!A75</f>
        <v>42736</v>
      </c>
      <c r="C27" s="292">
        <f>'Q1-Q2 KU Over-Under Calc'!B75</f>
        <v>42675</v>
      </c>
      <c r="D27" s="14">
        <f>'Q1-Q2 KU Over-Under Calc'!C75</f>
        <v>0.1036</v>
      </c>
      <c r="E27" s="15">
        <f>'Q1-Q2 KU Over-Under Calc'!N75</f>
        <v>0.1043</v>
      </c>
      <c r="F27" s="16">
        <f t="shared" si="12"/>
        <v>7.0000000000000617E-4</v>
      </c>
      <c r="G27" s="95">
        <f>'Q1-Q2 KU Over-Under Calc'!E75</f>
        <v>4656232</v>
      </c>
      <c r="H27" s="96">
        <f t="shared" si="13"/>
        <v>271.61353333333574</v>
      </c>
      <c r="I27" s="14">
        <f>'Q1-Q2 KU Over-Under Calc'!H75</f>
        <v>0.88100000000000001</v>
      </c>
      <c r="J27" s="96">
        <f t="shared" si="14"/>
        <v>239.2915228666688</v>
      </c>
      <c r="V27" s="7"/>
      <c r="W27" s="7"/>
      <c r="X27" s="7"/>
      <c r="AA27" s="22"/>
      <c r="AB27" s="22"/>
    </row>
    <row r="28" spans="1:28" x14ac:dyDescent="0.2">
      <c r="B28" s="292">
        <f>'Q1-Q2 KU Over-Under Calc'!A76</f>
        <v>42767</v>
      </c>
      <c r="C28" s="292">
        <f>'Q1-Q2 KU Over-Under Calc'!B76</f>
        <v>42705</v>
      </c>
      <c r="D28" s="14">
        <f>'Q1-Q2 KU Over-Under Calc'!C76</f>
        <v>0.1036</v>
      </c>
      <c r="E28" s="15">
        <f>'Q1-Q2 KU Over-Under Calc'!N76</f>
        <v>0.1043</v>
      </c>
      <c r="F28" s="16">
        <f t="shared" si="12"/>
        <v>7.0000000000000617E-4</v>
      </c>
      <c r="G28" s="95">
        <f>'Q1-Q2 KU Over-Under Calc'!E76</f>
        <v>5170879</v>
      </c>
      <c r="H28" s="96">
        <f t="shared" si="13"/>
        <v>301.63460833333596</v>
      </c>
      <c r="I28" s="14">
        <f>'Q1-Q2 KU Over-Under Calc'!H76</f>
        <v>0.88339999999999996</v>
      </c>
      <c r="J28" s="96">
        <f t="shared" si="14"/>
        <v>266.464013001669</v>
      </c>
      <c r="V28" s="7"/>
      <c r="W28" s="7"/>
      <c r="X28" s="7"/>
      <c r="AA28" s="22"/>
      <c r="AB28" s="22"/>
    </row>
    <row r="29" spans="1:28" x14ac:dyDescent="0.2">
      <c r="B29" s="292">
        <f>'Q1-Q2 KU Over-Under Calc'!A77</f>
        <v>42795</v>
      </c>
      <c r="C29" s="292">
        <f>'Q1-Q2 KU Over-Under Calc'!B77</f>
        <v>42736</v>
      </c>
      <c r="D29" s="14">
        <f>'Q1-Q2 KU Over-Under Calc'!C77</f>
        <v>0.1036</v>
      </c>
      <c r="E29" s="15">
        <f>'Q1-Q2 KU Over-Under Calc'!N77</f>
        <v>0.1043</v>
      </c>
      <c r="F29" s="16">
        <f t="shared" si="12"/>
        <v>7.0000000000000617E-4</v>
      </c>
      <c r="G29" s="95">
        <f>'Q1-Q2 KU Over-Under Calc'!E77</f>
        <v>5870726</v>
      </c>
      <c r="H29" s="96">
        <f t="shared" si="13"/>
        <v>342.4590166666697</v>
      </c>
      <c r="I29" s="14">
        <f>'Q1-Q2 KU Over-Under Calc'!H77</f>
        <v>0.87670000000000003</v>
      </c>
      <c r="J29" s="96">
        <f t="shared" si="14"/>
        <v>300.23381991166934</v>
      </c>
      <c r="V29" s="7"/>
      <c r="W29" s="7"/>
      <c r="X29" s="7"/>
      <c r="AA29" s="22"/>
      <c r="AB29" s="22"/>
    </row>
    <row r="30" spans="1:28" x14ac:dyDescent="0.2">
      <c r="B30" s="292">
        <f>'Q1-Q2 KU Over-Under Calc'!A78</f>
        <v>42826</v>
      </c>
      <c r="C30" s="292">
        <f>'Q1-Q2 KU Over-Under Calc'!B78</f>
        <v>42767</v>
      </c>
      <c r="D30" s="14">
        <f>'Q1-Q2 KU Over-Under Calc'!C78</f>
        <v>0.1036</v>
      </c>
      <c r="E30" s="15">
        <f>'Q1-Q2 KU Over-Under Calc'!N78</f>
        <v>0.1043</v>
      </c>
      <c r="F30" s="16">
        <f t="shared" si="12"/>
        <v>7.0000000000000617E-4</v>
      </c>
      <c r="G30" s="95">
        <f>'Q1-Q2 KU Over-Under Calc'!E78</f>
        <v>8063419</v>
      </c>
      <c r="H30" s="99">
        <f t="shared" si="13"/>
        <v>470.36610833333748</v>
      </c>
      <c r="I30" s="14">
        <f>'Q1-Q2 KU Over-Under Calc'!H78</f>
        <v>0.87990000000000002</v>
      </c>
      <c r="J30" s="99">
        <f t="shared" si="14"/>
        <v>413.87513872250366</v>
      </c>
      <c r="V30" s="7"/>
      <c r="W30" s="7"/>
      <c r="X30" s="7"/>
      <c r="AA30" s="22"/>
      <c r="AB30" s="22"/>
    </row>
    <row r="31" spans="1:28" x14ac:dyDescent="0.2">
      <c r="B31" s="13"/>
      <c r="C31" s="13"/>
      <c r="H31" s="95">
        <f>SUM(H25:H30)</f>
        <v>2372.8463750000155</v>
      </c>
      <c r="J31" s="95">
        <f>SUM(J25:J30)</f>
        <v>2093.9643239383472</v>
      </c>
      <c r="V31" s="7"/>
      <c r="W31" s="7"/>
      <c r="X31" s="7"/>
      <c r="AA31" s="22"/>
      <c r="AB31" s="22"/>
    </row>
    <row r="32" spans="1:28" x14ac:dyDescent="0.2">
      <c r="V32" s="7"/>
      <c r="W32" s="7"/>
      <c r="X32" s="7"/>
    </row>
    <row r="33" spans="2:31" s="5" customFormat="1" x14ac:dyDescent="0.2">
      <c r="B33" s="6">
        <v>-1</v>
      </c>
      <c r="C33" s="6">
        <f t="shared" ref="C33:G33" si="15">+B33-1</f>
        <v>-2</v>
      </c>
      <c r="D33" s="6">
        <f t="shared" si="15"/>
        <v>-3</v>
      </c>
      <c r="E33" s="6">
        <f t="shared" si="15"/>
        <v>-4</v>
      </c>
      <c r="F33" s="6">
        <f t="shared" si="15"/>
        <v>-5</v>
      </c>
      <c r="G33" s="6">
        <f t="shared" si="15"/>
        <v>-6</v>
      </c>
      <c r="H33" s="6"/>
      <c r="I33" s="6"/>
      <c r="J33" s="1"/>
      <c r="K33" s="23"/>
      <c r="L33"/>
      <c r="M33"/>
      <c r="N33"/>
      <c r="O33"/>
      <c r="P33"/>
      <c r="Q33"/>
      <c r="R33"/>
      <c r="S33"/>
      <c r="T33"/>
      <c r="U33"/>
      <c r="V33" s="23"/>
      <c r="W33" s="11"/>
      <c r="X33" s="11"/>
    </row>
    <row r="34" spans="2:31" x14ac:dyDescent="0.2">
      <c r="C34" s="24"/>
      <c r="D34" s="316" t="s">
        <v>52</v>
      </c>
      <c r="E34" s="316"/>
      <c r="F34" s="316"/>
      <c r="G34" s="316"/>
      <c r="H34" s="5"/>
      <c r="J34" s="1"/>
      <c r="K34" s="7"/>
      <c r="V34" s="7"/>
    </row>
    <row r="35" spans="2:31" ht="51" x14ac:dyDescent="0.2">
      <c r="B35" s="9" t="s">
        <v>53</v>
      </c>
      <c r="C35" s="9" t="s">
        <v>54</v>
      </c>
      <c r="D35" s="25" t="s">
        <v>20</v>
      </c>
      <c r="E35" s="9" t="s">
        <v>204</v>
      </c>
      <c r="F35" s="9" t="s">
        <v>205</v>
      </c>
      <c r="G35" s="8" t="s">
        <v>55</v>
      </c>
      <c r="H35" s="5"/>
      <c r="I35" s="5"/>
      <c r="J35" s="100"/>
      <c r="K35" s="7"/>
      <c r="V35" s="7"/>
    </row>
    <row r="36" spans="2:31" x14ac:dyDescent="0.2">
      <c r="B36" s="5"/>
      <c r="C36" s="5"/>
      <c r="D36" s="12" t="s">
        <v>56</v>
      </c>
      <c r="E36" s="5"/>
      <c r="G36" s="5"/>
      <c r="H36" s="5"/>
      <c r="I36" s="5"/>
      <c r="J36" s="7"/>
      <c r="K36" s="7"/>
      <c r="V36" s="7"/>
    </row>
    <row r="37" spans="2:31" x14ac:dyDescent="0.2">
      <c r="B37" s="26"/>
      <c r="C37" s="92"/>
      <c r="D37" s="92"/>
      <c r="H37" s="92"/>
      <c r="I37" s="92"/>
      <c r="J37" s="27"/>
      <c r="K37" s="23"/>
      <c r="V37" s="7"/>
    </row>
    <row r="38" spans="2:31" x14ac:dyDescent="0.2">
      <c r="B38" s="293">
        <f t="shared" ref="B38:C43" si="16">+B11</f>
        <v>42675</v>
      </c>
      <c r="C38" s="293">
        <f t="shared" si="16"/>
        <v>42614</v>
      </c>
      <c r="D38" s="95">
        <f>'Q1-Q2 KU Over-Under Calc'!AN40</f>
        <v>-505688.44066327065</v>
      </c>
      <c r="E38" s="95">
        <f t="shared" ref="E38:E43" si="17">-J11</f>
        <v>-244119.29993436541</v>
      </c>
      <c r="F38" s="295">
        <f>-J25</f>
        <v>-651.22975538916785</v>
      </c>
      <c r="G38" s="95">
        <f>D38-E38-F38</f>
        <v>-260917.91097351609</v>
      </c>
      <c r="H38" s="5"/>
      <c r="I38" s="5"/>
      <c r="J38" s="17"/>
      <c r="K38" s="23"/>
      <c r="V38" s="7"/>
    </row>
    <row r="39" spans="2:31" x14ac:dyDescent="0.2">
      <c r="B39" s="293">
        <f t="shared" si="16"/>
        <v>42705</v>
      </c>
      <c r="C39" s="293">
        <f t="shared" si="16"/>
        <v>42644</v>
      </c>
      <c r="D39" s="95">
        <f>'Q1-Q2 KU Over-Under Calc'!AN41</f>
        <v>933906.79105880635</v>
      </c>
      <c r="E39" s="97">
        <f t="shared" si="17"/>
        <v>-53285.691318615471</v>
      </c>
      <c r="F39" s="295">
        <f t="shared" ref="F39:F43" si="18">-J26</f>
        <v>-222.87007404666861</v>
      </c>
      <c r="G39" s="95">
        <f t="shared" ref="G39:G43" si="19">D39-E39-F39</f>
        <v>987415.35245146847</v>
      </c>
      <c r="H39" s="5"/>
      <c r="I39" s="5"/>
      <c r="J39" s="17"/>
      <c r="K39" s="23"/>
      <c r="V39" s="7"/>
    </row>
    <row r="40" spans="2:31" x14ac:dyDescent="0.2">
      <c r="B40" s="293">
        <f t="shared" si="16"/>
        <v>42736</v>
      </c>
      <c r="C40" s="293">
        <f t="shared" si="16"/>
        <v>42675</v>
      </c>
      <c r="D40" s="95">
        <f>'Q1-Q2 KU Over-Under Calc'!AN42</f>
        <v>-592210.51735724881</v>
      </c>
      <c r="E40" s="97">
        <f t="shared" si="17"/>
        <v>-53898.852602350475</v>
      </c>
      <c r="F40" s="295">
        <f t="shared" si="18"/>
        <v>-239.2915228666688</v>
      </c>
      <c r="G40" s="95">
        <f t="shared" si="19"/>
        <v>-538072.37323203159</v>
      </c>
      <c r="H40" s="5"/>
      <c r="I40" s="5"/>
      <c r="J40" s="17"/>
      <c r="K40" s="23"/>
      <c r="V40" s="7"/>
    </row>
    <row r="41" spans="2:31" x14ac:dyDescent="0.2">
      <c r="B41" s="293">
        <f t="shared" si="16"/>
        <v>42767</v>
      </c>
      <c r="C41" s="293">
        <f t="shared" si="16"/>
        <v>42705</v>
      </c>
      <c r="D41" s="95">
        <f>'Q1-Q2 KU Over-Under Calc'!AN43</f>
        <v>-27633.51870951429</v>
      </c>
      <c r="E41" s="97">
        <f t="shared" si="17"/>
        <v>-53797.279735512129</v>
      </c>
      <c r="F41" s="295">
        <f t="shared" si="18"/>
        <v>-266.464013001669</v>
      </c>
      <c r="G41" s="95">
        <f t="shared" si="19"/>
        <v>26430.22503899951</v>
      </c>
      <c r="H41" s="5"/>
      <c r="I41" s="5"/>
      <c r="J41" s="17"/>
      <c r="K41" s="23"/>
      <c r="V41" s="7"/>
    </row>
    <row r="42" spans="2:31" x14ac:dyDescent="0.2">
      <c r="B42" s="293">
        <f t="shared" si="16"/>
        <v>42795</v>
      </c>
      <c r="C42" s="293">
        <f t="shared" si="16"/>
        <v>42736</v>
      </c>
      <c r="D42" s="95">
        <f>'Q1-Q2 KU Over-Under Calc'!AN44</f>
        <v>61233.7402165737</v>
      </c>
      <c r="E42" s="97">
        <f t="shared" si="17"/>
        <v>-53395.371191919636</v>
      </c>
      <c r="F42" s="295">
        <f t="shared" si="18"/>
        <v>-300.23381991166934</v>
      </c>
      <c r="G42" s="95">
        <f t="shared" si="19"/>
        <v>114929.345228405</v>
      </c>
      <c r="H42" s="5"/>
      <c r="I42" s="5"/>
      <c r="J42" s="17"/>
      <c r="K42" s="23"/>
      <c r="V42" s="7"/>
    </row>
    <row r="43" spans="2:31" x14ac:dyDescent="0.2">
      <c r="B43" s="294">
        <f t="shared" si="16"/>
        <v>42826</v>
      </c>
      <c r="C43" s="294">
        <f t="shared" si="16"/>
        <v>42767</v>
      </c>
      <c r="D43" s="101">
        <f>'Q1-Q2 KU Over-Under Calc'!AN45</f>
        <v>-593329.98100994714</v>
      </c>
      <c r="E43" s="98">
        <f t="shared" si="17"/>
        <v>-53613.506230375482</v>
      </c>
      <c r="F43" s="296">
        <f t="shared" si="18"/>
        <v>-413.87513872250366</v>
      </c>
      <c r="G43" s="101">
        <f t="shared" si="19"/>
        <v>-539302.59964084916</v>
      </c>
      <c r="H43" s="5"/>
      <c r="I43" s="5"/>
      <c r="J43" s="17"/>
      <c r="K43" s="23"/>
      <c r="V43" s="7"/>
    </row>
    <row r="44" spans="2:31" x14ac:dyDescent="0.2">
      <c r="B44" s="4" t="s">
        <v>107</v>
      </c>
      <c r="D44" s="95">
        <f>SUM(D38:D43)</f>
        <v>-723721.92646460084</v>
      </c>
      <c r="E44" s="95">
        <f>SUM(E38:E43)</f>
        <v>-512110.00101313868</v>
      </c>
      <c r="F44" s="95">
        <f>SUM(F38:F43)</f>
        <v>-2093.9643239383472</v>
      </c>
      <c r="G44" s="95">
        <f>SUM(G38:G43)</f>
        <v>-209517.9611275238</v>
      </c>
      <c r="H44" s="20"/>
      <c r="I44" s="20"/>
      <c r="J44" s="7"/>
      <c r="K44" s="19"/>
      <c r="X44" s="22"/>
      <c r="Y44" s="22"/>
      <c r="Z44" s="22"/>
      <c r="AB44" s="29"/>
      <c r="AC44" s="22"/>
      <c r="AD44" s="30"/>
      <c r="AE44" s="20"/>
    </row>
    <row r="45" spans="2:31" x14ac:dyDescent="0.2">
      <c r="G45" s="10"/>
      <c r="H45" s="20"/>
      <c r="I45" s="20"/>
      <c r="J45" s="7"/>
      <c r="K45" s="19"/>
      <c r="X45" s="22"/>
      <c r="Y45" s="22"/>
      <c r="Z45" s="22"/>
      <c r="AB45" s="29"/>
      <c r="AC45" s="22"/>
      <c r="AD45" s="30"/>
      <c r="AE45" s="20"/>
    </row>
    <row r="46" spans="2:31" ht="13.5" thickBot="1" x14ac:dyDescent="0.25"/>
    <row r="47" spans="2:31" x14ac:dyDescent="0.2">
      <c r="D47" s="297"/>
      <c r="E47" s="298"/>
      <c r="F47" s="298"/>
      <c r="G47" s="298"/>
      <c r="H47" s="299"/>
    </row>
    <row r="48" spans="2:31" x14ac:dyDescent="0.2">
      <c r="D48" s="313" t="s">
        <v>57</v>
      </c>
      <c r="E48" s="314"/>
      <c r="F48" s="314"/>
      <c r="G48" s="314"/>
      <c r="H48" s="315"/>
      <c r="J48" s="10"/>
    </row>
    <row r="49" spans="4:10" x14ac:dyDescent="0.2">
      <c r="D49" s="300"/>
      <c r="E49" s="301"/>
      <c r="F49" s="10"/>
      <c r="G49" s="10"/>
      <c r="H49" s="302"/>
      <c r="J49" s="10"/>
    </row>
    <row r="50" spans="4:10" x14ac:dyDescent="0.2">
      <c r="D50" s="300"/>
      <c r="E50" s="10"/>
      <c r="F50" s="303" t="s">
        <v>58</v>
      </c>
      <c r="G50" s="10"/>
      <c r="H50" s="304">
        <f>D44</f>
        <v>-723721.92646460084</v>
      </c>
      <c r="J50" s="28"/>
    </row>
    <row r="51" spans="4:10" x14ac:dyDescent="0.2">
      <c r="D51" s="300"/>
      <c r="E51" s="10"/>
      <c r="F51" s="10"/>
      <c r="G51" s="10"/>
      <c r="H51" s="302"/>
      <c r="J51" s="10"/>
    </row>
    <row r="52" spans="4:10" x14ac:dyDescent="0.2">
      <c r="D52" s="305"/>
      <c r="E52" s="10"/>
      <c r="F52" s="303" t="s">
        <v>206</v>
      </c>
      <c r="G52" s="95">
        <f>E44</f>
        <v>-512110.00101313868</v>
      </c>
      <c r="H52" s="302"/>
      <c r="J52" s="10"/>
    </row>
    <row r="53" spans="4:10" x14ac:dyDescent="0.2">
      <c r="D53" s="305"/>
      <c r="E53" s="10"/>
      <c r="F53" s="303" t="s">
        <v>207</v>
      </c>
      <c r="G53" s="95">
        <f>F44</f>
        <v>-2093.9643239383472</v>
      </c>
      <c r="H53" s="302"/>
      <c r="J53" s="10"/>
    </row>
    <row r="54" spans="4:10" x14ac:dyDescent="0.2">
      <c r="D54" s="305"/>
      <c r="E54" s="10"/>
      <c r="F54" s="31" t="s">
        <v>55</v>
      </c>
      <c r="G54" s="101">
        <f>G44</f>
        <v>-209517.9611275238</v>
      </c>
      <c r="H54" s="302"/>
      <c r="J54" s="10"/>
    </row>
    <row r="55" spans="4:10" x14ac:dyDescent="0.2">
      <c r="D55" s="300"/>
      <c r="E55" s="10"/>
      <c r="F55" s="31"/>
      <c r="G55" s="28"/>
      <c r="H55" s="306"/>
      <c r="J55" s="10"/>
    </row>
    <row r="56" spans="4:10" x14ac:dyDescent="0.2">
      <c r="D56" s="300"/>
      <c r="E56" s="11"/>
      <c r="F56" s="31" t="s">
        <v>59</v>
      </c>
      <c r="G56" s="10"/>
      <c r="H56" s="304">
        <f>SUM(G52:G54)</f>
        <v>-723721.92646460084</v>
      </c>
    </row>
    <row r="57" spans="4:10" x14ac:dyDescent="0.2">
      <c r="D57" s="300"/>
      <c r="E57" s="10"/>
      <c r="F57" s="31"/>
      <c r="G57" s="28"/>
      <c r="H57" s="302"/>
    </row>
    <row r="58" spans="4:10" x14ac:dyDescent="0.2">
      <c r="D58" s="300"/>
      <c r="E58" s="10"/>
      <c r="F58" s="31" t="s">
        <v>60</v>
      </c>
      <c r="G58" s="10"/>
      <c r="H58" s="304">
        <f>+H50-H56</f>
        <v>0</v>
      </c>
    </row>
    <row r="59" spans="4:10" ht="13.5" thickBot="1" x14ac:dyDescent="0.25">
      <c r="D59" s="307"/>
      <c r="E59" s="308"/>
      <c r="F59" s="309"/>
      <c r="G59" s="308"/>
      <c r="H59" s="310"/>
    </row>
    <row r="60" spans="4:10" x14ac:dyDescent="0.2">
      <c r="D60" s="10"/>
      <c r="E60" s="10"/>
      <c r="F60" s="32"/>
      <c r="G60" s="10"/>
      <c r="H60" s="10"/>
    </row>
    <row r="61" spans="4:10" x14ac:dyDescent="0.2">
      <c r="D61" s="10"/>
      <c r="E61" s="10"/>
      <c r="F61" s="32"/>
      <c r="G61" s="10"/>
      <c r="H61" s="10"/>
    </row>
    <row r="62" spans="4:10" x14ac:dyDescent="0.2">
      <c r="D62" s="10"/>
      <c r="E62" s="10"/>
      <c r="F62" s="32"/>
      <c r="G62" s="10"/>
      <c r="H62" s="10"/>
    </row>
    <row r="63" spans="4:10" x14ac:dyDescent="0.2">
      <c r="D63" s="10"/>
      <c r="E63" s="10"/>
      <c r="F63" s="32"/>
      <c r="G63" s="10"/>
      <c r="H63" s="10"/>
    </row>
  </sheetData>
  <mergeCells count="2">
    <mergeCell ref="D48:H48"/>
    <mergeCell ref="D34:G34"/>
  </mergeCells>
  <pageMargins left="1" right="0.75" top="1" bottom="0.55000000000000004" header="0.5" footer="0.5"/>
  <pageSetup scale="5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41"/>
  <sheetViews>
    <sheetView zoomScaleNormal="100" workbookViewId="0"/>
  </sheetViews>
  <sheetFormatPr defaultColWidth="20.83203125" defaultRowHeight="15.75" x14ac:dyDescent="0.25"/>
  <cols>
    <col min="1" max="1" width="6.33203125" style="36" customWidth="1"/>
    <col min="2" max="2" width="38.83203125" style="36" customWidth="1"/>
    <col min="3" max="3" width="22.1640625" style="36" customWidth="1"/>
    <col min="4" max="4" width="4.6640625" style="36" bestFit="1" customWidth="1"/>
    <col min="5" max="5" width="2" style="36" customWidth="1"/>
    <col min="6" max="6" width="18.6640625" style="36" bestFit="1" customWidth="1"/>
    <col min="7" max="7" width="2.33203125" style="36" customWidth="1"/>
    <col min="8" max="8" width="29.83203125" style="36" bestFit="1" customWidth="1"/>
    <col min="9" max="9" width="2.33203125" style="36" customWidth="1"/>
    <col min="10" max="10" width="22.1640625" style="36" customWidth="1"/>
    <col min="11" max="11" width="2.33203125" style="36" customWidth="1"/>
    <col min="12" max="12" width="22.1640625" style="36" customWidth="1"/>
    <col min="13" max="13" width="2.6640625" style="36" customWidth="1"/>
    <col min="14" max="14" width="22.1640625" style="36" customWidth="1"/>
    <col min="15" max="15" width="2.6640625" style="36" customWidth="1"/>
    <col min="16" max="16" width="22.1640625" style="36" customWidth="1"/>
    <col min="17" max="17" width="2.1640625" style="36" customWidth="1"/>
    <col min="18" max="18" width="22.1640625" style="36" customWidth="1"/>
    <col min="19" max="20" width="2.1640625" style="36" customWidth="1"/>
    <col min="21" max="21" width="22.1640625" style="36" customWidth="1"/>
    <col min="22" max="22" width="2.6640625" style="36" customWidth="1"/>
    <col min="23" max="23" width="21.33203125" style="36" customWidth="1"/>
    <col min="24" max="24" width="2.83203125" style="36" customWidth="1"/>
    <col min="25" max="25" width="19.1640625" style="36" customWidth="1"/>
    <col min="26" max="26" width="3.33203125" style="36" customWidth="1"/>
    <col min="27" max="27" width="21.1640625" style="36" customWidth="1"/>
    <col min="28" max="16384" width="20.83203125" style="36"/>
  </cols>
  <sheetData>
    <row r="1" spans="1:27" x14ac:dyDescent="0.25">
      <c r="A1" s="33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V1" s="35"/>
      <c r="X1" s="35"/>
      <c r="Y1" s="35"/>
      <c r="Z1" s="35"/>
    </row>
    <row r="2" spans="1:27" x14ac:dyDescent="0.25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V2" s="35"/>
      <c r="X2" s="35"/>
      <c r="Y2" s="35"/>
      <c r="Z2" s="35"/>
    </row>
    <row r="3" spans="1:27" x14ac:dyDescent="0.25">
      <c r="A3" s="34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X3" s="35"/>
      <c r="Y3" s="35"/>
    </row>
    <row r="4" spans="1:27" x14ac:dyDescent="0.25">
      <c r="A4" s="37" t="s">
        <v>61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  <c r="U4" s="38"/>
      <c r="V4" s="38"/>
      <c r="W4" s="39"/>
      <c r="X4" s="40"/>
      <c r="Y4" s="40"/>
      <c r="Z4" s="40"/>
      <c r="AA4" s="40"/>
    </row>
    <row r="5" spans="1:27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35"/>
      <c r="Y5" s="35"/>
      <c r="Z5" s="35"/>
      <c r="AA5" s="35"/>
    </row>
    <row r="6" spans="1:27" x14ac:dyDescent="0.25">
      <c r="A6" s="182" t="s">
        <v>130</v>
      </c>
      <c r="B6" s="182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9"/>
      <c r="U6" s="39"/>
      <c r="V6" s="39"/>
      <c r="W6" s="39"/>
      <c r="X6" s="40"/>
      <c r="Y6" s="40"/>
      <c r="Z6" s="40"/>
      <c r="AA6" s="40"/>
    </row>
    <row r="7" spans="1:27" x14ac:dyDescent="0.25">
      <c r="A7" s="42" t="s">
        <v>110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9"/>
      <c r="U7" s="39"/>
      <c r="V7" s="39"/>
      <c r="W7" s="41"/>
    </row>
    <row r="8" spans="1:27" x14ac:dyDescent="0.25">
      <c r="A8" s="43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4"/>
      <c r="S8" s="39"/>
      <c r="T8" s="39"/>
      <c r="U8" s="39"/>
      <c r="V8" s="39"/>
      <c r="W8" s="41"/>
    </row>
    <row r="9" spans="1:27" ht="18" x14ac:dyDescent="0.4">
      <c r="A9" s="3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27" x14ac:dyDescent="0.25">
      <c r="A10" s="34"/>
      <c r="B10" s="34"/>
      <c r="C10" s="35"/>
      <c r="D10" s="35"/>
      <c r="E10" s="35"/>
      <c r="H10" s="35"/>
      <c r="I10" s="35"/>
      <c r="J10" s="35"/>
      <c r="K10" s="35"/>
      <c r="L10" s="46" t="s">
        <v>62</v>
      </c>
      <c r="O10" s="35"/>
      <c r="P10" s="35"/>
      <c r="Q10" s="35"/>
      <c r="R10" s="35"/>
      <c r="T10" s="46"/>
    </row>
    <row r="11" spans="1:27" x14ac:dyDescent="0.25">
      <c r="A11" s="34"/>
      <c r="B11" s="34"/>
      <c r="C11" s="46"/>
      <c r="D11" s="46"/>
      <c r="E11" s="46"/>
      <c r="H11" s="46"/>
      <c r="I11" s="46"/>
      <c r="J11" s="46"/>
      <c r="K11" s="46"/>
      <c r="L11" s="46" t="s">
        <v>63</v>
      </c>
      <c r="M11" s="46"/>
      <c r="N11" s="46" t="s">
        <v>64</v>
      </c>
      <c r="Q11" s="46"/>
      <c r="R11" s="47" t="s">
        <v>65</v>
      </c>
      <c r="T11" s="47"/>
      <c r="V11" s="46"/>
      <c r="W11" s="46"/>
    </row>
    <row r="12" spans="1:27" x14ac:dyDescent="0.25">
      <c r="A12" s="34"/>
      <c r="B12" s="34"/>
      <c r="C12" s="46"/>
      <c r="D12" s="46"/>
      <c r="E12" s="46"/>
      <c r="F12" s="46"/>
      <c r="H12" s="46"/>
      <c r="I12" s="46"/>
      <c r="J12" s="46" t="s">
        <v>66</v>
      </c>
      <c r="K12" s="46"/>
      <c r="L12" s="46" t="s">
        <v>67</v>
      </c>
      <c r="M12" s="46"/>
      <c r="N12" s="46" t="s">
        <v>68</v>
      </c>
      <c r="O12" s="47"/>
      <c r="P12" s="46" t="s">
        <v>69</v>
      </c>
      <c r="Q12" s="46"/>
      <c r="R12" s="46" t="s">
        <v>69</v>
      </c>
    </row>
    <row r="13" spans="1:27" x14ac:dyDescent="0.25">
      <c r="A13" s="34"/>
      <c r="B13" s="35"/>
      <c r="C13" s="46" t="s">
        <v>70</v>
      </c>
      <c r="D13" s="46"/>
      <c r="E13" s="46"/>
      <c r="F13" s="47" t="s">
        <v>71</v>
      </c>
      <c r="H13" s="46"/>
      <c r="I13" s="46"/>
      <c r="J13" s="46" t="s">
        <v>72</v>
      </c>
      <c r="K13" s="46"/>
      <c r="L13" s="46" t="s">
        <v>73</v>
      </c>
      <c r="M13" s="46"/>
      <c r="N13" s="46" t="s">
        <v>73</v>
      </c>
      <c r="O13" s="47"/>
      <c r="P13" s="46" t="s">
        <v>74</v>
      </c>
      <c r="Q13" s="46"/>
      <c r="R13" s="47" t="s">
        <v>73</v>
      </c>
    </row>
    <row r="14" spans="1:27" x14ac:dyDescent="0.25">
      <c r="A14" s="35"/>
      <c r="B14" s="35"/>
      <c r="C14" s="48" t="s">
        <v>111</v>
      </c>
      <c r="D14" s="46"/>
      <c r="E14" s="46"/>
      <c r="F14" s="47" t="s">
        <v>75</v>
      </c>
      <c r="H14" s="46" t="s">
        <v>76</v>
      </c>
      <c r="I14" s="46"/>
      <c r="J14" s="49" t="s">
        <v>77</v>
      </c>
      <c r="K14" s="46"/>
      <c r="L14" s="49" t="s">
        <v>78</v>
      </c>
      <c r="M14" s="46"/>
      <c r="N14" s="50" t="s">
        <v>79</v>
      </c>
      <c r="O14" s="47"/>
      <c r="P14" s="46" t="s">
        <v>80</v>
      </c>
      <c r="Q14" s="46"/>
      <c r="R14" s="49" t="s">
        <v>81</v>
      </c>
    </row>
    <row r="15" spans="1:27" x14ac:dyDescent="0.25">
      <c r="A15" s="35"/>
      <c r="B15" s="35"/>
      <c r="C15" s="51">
        <v>-1</v>
      </c>
      <c r="D15" s="46"/>
      <c r="E15" s="47"/>
      <c r="F15" s="51">
        <v>-2</v>
      </c>
      <c r="H15" s="51">
        <v>-3</v>
      </c>
      <c r="I15" s="46"/>
      <c r="J15" s="52">
        <v>-4</v>
      </c>
      <c r="K15" s="46"/>
      <c r="L15" s="52">
        <v>-5</v>
      </c>
      <c r="M15" s="46"/>
      <c r="N15" s="51">
        <v>-6</v>
      </c>
      <c r="O15" s="46"/>
      <c r="P15" s="51">
        <v>-7</v>
      </c>
      <c r="Q15" s="46"/>
      <c r="R15" s="51">
        <v>-8</v>
      </c>
    </row>
    <row r="16" spans="1:27" ht="30" customHeight="1" x14ac:dyDescent="0.25">
      <c r="A16" s="56" t="s">
        <v>82</v>
      </c>
      <c r="B16" s="35" t="s">
        <v>83</v>
      </c>
      <c r="C16" s="60">
        <f>ROUND('Q1 - KU ECC Feb17'!F65,0)</f>
        <v>9653651</v>
      </c>
      <c r="D16" s="58" t="s">
        <v>84</v>
      </c>
      <c r="E16" s="35"/>
      <c r="F16" s="65">
        <f>ROUND(C16/$C$19,4)</f>
        <v>1.9E-3</v>
      </c>
      <c r="H16" s="60">
        <v>0</v>
      </c>
      <c r="I16" s="35"/>
      <c r="J16" s="60">
        <f>ROUND(+F16*$J$19,0)</f>
        <v>-2320</v>
      </c>
      <c r="K16" s="35"/>
      <c r="L16" s="60">
        <f>SUM(H16:K16)</f>
        <v>-2320</v>
      </c>
      <c r="M16" s="35"/>
      <c r="N16" s="61">
        <f>+C16+L16</f>
        <v>9651331</v>
      </c>
      <c r="P16" s="77">
        <v>0.89080000000000004</v>
      </c>
      <c r="Q16" s="35"/>
      <c r="R16" s="61">
        <f>ROUND(+N16*P16,0)</f>
        <v>8597406</v>
      </c>
    </row>
    <row r="17" spans="1:28" ht="30" customHeight="1" x14ac:dyDescent="0.25">
      <c r="A17" s="56" t="s">
        <v>85</v>
      </c>
      <c r="B17" s="35" t="s">
        <v>86</v>
      </c>
      <c r="C17" s="55">
        <f>ROUND('Q1 - KU ECC Feb17'!F49,0)</f>
        <v>2341628480</v>
      </c>
      <c r="D17" s="58" t="s">
        <v>84</v>
      </c>
      <c r="E17" s="35"/>
      <c r="F17" s="65">
        <f>ROUND(C17/$C$19,4)</f>
        <v>0.4642</v>
      </c>
      <c r="H17" s="64">
        <v>0</v>
      </c>
      <c r="I17" s="35"/>
      <c r="J17" s="55">
        <f>ROUND(+F17*$J$19,0)</f>
        <v>-566933</v>
      </c>
      <c r="K17" s="35"/>
      <c r="L17" s="55">
        <f>SUM(H17:K17)</f>
        <v>-566933</v>
      </c>
      <c r="M17" s="35"/>
      <c r="N17" s="62">
        <f>+C17+L17</f>
        <v>2341061547</v>
      </c>
      <c r="P17" s="63">
        <f>+P16</f>
        <v>0.89080000000000004</v>
      </c>
      <c r="Q17" s="35"/>
      <c r="R17" s="62">
        <f>ROUND(+N17*P17,0)</f>
        <v>2085417626</v>
      </c>
    </row>
    <row r="18" spans="1:28" ht="30" customHeight="1" x14ac:dyDescent="0.25">
      <c r="A18" s="56" t="s">
        <v>87</v>
      </c>
      <c r="B18" s="35" t="s">
        <v>88</v>
      </c>
      <c r="C18" s="55">
        <v>2693389639</v>
      </c>
      <c r="D18" s="35"/>
      <c r="E18" s="35"/>
      <c r="F18" s="59">
        <f>ROUND(1-F16-F17,4)</f>
        <v>0.53390000000000004</v>
      </c>
      <c r="H18" s="64">
        <f>H19</f>
        <v>-504066</v>
      </c>
      <c r="I18" s="35"/>
      <c r="J18" s="64">
        <f>+J19-J16-J17</f>
        <v>-652060</v>
      </c>
      <c r="K18" s="35"/>
      <c r="L18" s="64">
        <f>SUM(H18:K18)</f>
        <v>-1156126</v>
      </c>
      <c r="M18" s="35"/>
      <c r="N18" s="62">
        <f>+C18+L18</f>
        <v>2692233513</v>
      </c>
      <c r="P18" s="63">
        <f>+P16</f>
        <v>0.89080000000000004</v>
      </c>
      <c r="Q18" s="35"/>
      <c r="R18" s="62">
        <f>ROUND(+N18*P18,0)</f>
        <v>2398241613</v>
      </c>
    </row>
    <row r="19" spans="1:28" ht="30" customHeight="1" thickBot="1" x14ac:dyDescent="0.3">
      <c r="A19" s="56" t="s">
        <v>89</v>
      </c>
      <c r="B19" s="35" t="s">
        <v>90</v>
      </c>
      <c r="C19" s="67">
        <f>SUM(C16:C18)</f>
        <v>5044671770</v>
      </c>
      <c r="D19" s="35"/>
      <c r="E19" s="35"/>
      <c r="F19" s="68">
        <f>SUM(F16:F18)</f>
        <v>1</v>
      </c>
      <c r="H19" s="69">
        <v>-504066</v>
      </c>
      <c r="I19" s="35"/>
      <c r="J19" s="69">
        <v>-1221313</v>
      </c>
      <c r="K19" s="35"/>
      <c r="L19" s="69">
        <f>SUM(L16:L18)</f>
        <v>-1725379</v>
      </c>
      <c r="M19" s="35"/>
      <c r="N19" s="69">
        <f>SUM(N16:N18)</f>
        <v>5042946391</v>
      </c>
      <c r="Q19" s="35"/>
      <c r="R19" s="69">
        <f>SUM(R16:R18)</f>
        <v>4492256645</v>
      </c>
    </row>
    <row r="20" spans="1:28" ht="16.5" thickTop="1" x14ac:dyDescent="0.25">
      <c r="A20" s="35"/>
      <c r="B20" s="35"/>
      <c r="C20" s="35"/>
      <c r="D20" s="35"/>
      <c r="E20" s="35"/>
      <c r="F20" s="35"/>
      <c r="H20" s="35"/>
      <c r="I20" s="35"/>
      <c r="J20" s="35"/>
      <c r="K20" s="35"/>
      <c r="L20" s="35"/>
      <c r="M20" s="35"/>
      <c r="N20" s="35"/>
      <c r="O20" s="35"/>
      <c r="Q20" s="35"/>
      <c r="S20" s="35"/>
    </row>
    <row r="21" spans="1:28" x14ac:dyDescent="0.25">
      <c r="A21" s="35"/>
      <c r="B21" s="35"/>
      <c r="C21" s="57"/>
      <c r="D21" s="35"/>
      <c r="E21" s="35"/>
      <c r="F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T21" s="35"/>
    </row>
    <row r="22" spans="1:28" ht="18" x14ac:dyDescent="0.4">
      <c r="A22" s="35"/>
      <c r="B22" s="3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35"/>
    </row>
    <row r="23" spans="1:28" ht="18" x14ac:dyDescent="0.4">
      <c r="A23" s="35"/>
      <c r="B23" s="3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35"/>
    </row>
    <row r="24" spans="1:28" ht="18" x14ac:dyDescent="0.4">
      <c r="A24" s="35"/>
      <c r="B24" s="35"/>
      <c r="C24" s="45"/>
      <c r="D24" s="45"/>
      <c r="E24" s="45"/>
      <c r="F24" s="45"/>
      <c r="G24" s="45"/>
      <c r="H24" s="70"/>
      <c r="I24" s="45"/>
      <c r="J24" s="70"/>
      <c r="K24" s="45"/>
      <c r="L24" s="70" t="s">
        <v>91</v>
      </c>
      <c r="M24" s="45"/>
      <c r="N24" s="45"/>
      <c r="O24" s="45"/>
      <c r="R24" s="35"/>
      <c r="S24" s="35"/>
      <c r="X24" s="35"/>
      <c r="AB24" s="47"/>
    </row>
    <row r="25" spans="1:28" ht="18" x14ac:dyDescent="0.4">
      <c r="A25" s="35"/>
      <c r="B25" s="35"/>
      <c r="C25" s="45"/>
      <c r="D25" s="45"/>
      <c r="E25" s="45"/>
      <c r="F25" s="45"/>
      <c r="G25" s="45"/>
      <c r="H25" s="70"/>
      <c r="I25" s="45"/>
      <c r="J25" s="70"/>
      <c r="K25" s="45"/>
      <c r="L25" s="47" t="s">
        <v>65</v>
      </c>
      <c r="M25" s="45"/>
      <c r="P25" s="46"/>
      <c r="Q25" s="46"/>
      <c r="R25" s="46" t="s">
        <v>92</v>
      </c>
      <c r="X25" s="35"/>
      <c r="AB25" s="47"/>
    </row>
    <row r="26" spans="1:28" x14ac:dyDescent="0.25">
      <c r="A26" s="35"/>
      <c r="B26" s="35"/>
      <c r="C26" s="47" t="s">
        <v>65</v>
      </c>
      <c r="D26" s="35"/>
      <c r="E26" s="35"/>
      <c r="F26" s="35"/>
      <c r="H26" s="70" t="s">
        <v>93</v>
      </c>
      <c r="J26" s="54" t="s">
        <v>94</v>
      </c>
      <c r="L26" s="46" t="s">
        <v>69</v>
      </c>
      <c r="M26" s="35"/>
      <c r="N26" s="47" t="s">
        <v>91</v>
      </c>
      <c r="P26" s="46" t="s">
        <v>95</v>
      </c>
      <c r="Q26" s="46"/>
      <c r="R26" s="46" t="s">
        <v>96</v>
      </c>
      <c r="X26" s="35"/>
      <c r="AA26" s="47"/>
      <c r="AB26" s="47"/>
    </row>
    <row r="27" spans="1:28" ht="18" x14ac:dyDescent="0.4">
      <c r="C27" s="46" t="s">
        <v>69</v>
      </c>
      <c r="D27" s="71"/>
      <c r="E27" s="71"/>
      <c r="F27" s="47" t="s">
        <v>71</v>
      </c>
      <c r="H27" s="46" t="s">
        <v>97</v>
      </c>
      <c r="J27" s="54" t="s">
        <v>74</v>
      </c>
      <c r="L27" s="47" t="s">
        <v>73</v>
      </c>
      <c r="M27" s="71"/>
      <c r="N27" s="47" t="s">
        <v>71</v>
      </c>
      <c r="P27" s="46" t="s">
        <v>92</v>
      </c>
      <c r="Q27" s="46"/>
      <c r="R27" s="46" t="s">
        <v>98</v>
      </c>
      <c r="X27" s="71"/>
      <c r="AA27" s="47"/>
      <c r="AB27" s="72"/>
    </row>
    <row r="28" spans="1:28" x14ac:dyDescent="0.25">
      <c r="A28" s="53"/>
      <c r="B28" s="73"/>
      <c r="C28" s="47" t="s">
        <v>73</v>
      </c>
      <c r="F28" s="47" t="s">
        <v>75</v>
      </c>
      <c r="H28" s="49" t="s">
        <v>99</v>
      </c>
      <c r="J28" s="49" t="s">
        <v>100</v>
      </c>
      <c r="L28" s="49" t="s">
        <v>101</v>
      </c>
      <c r="N28" s="47" t="s">
        <v>75</v>
      </c>
      <c r="P28" s="46" t="s">
        <v>102</v>
      </c>
      <c r="Q28" s="46"/>
      <c r="R28" s="50" t="s">
        <v>103</v>
      </c>
      <c r="X28" s="47"/>
      <c r="AA28" s="47"/>
      <c r="AB28" s="72"/>
    </row>
    <row r="29" spans="1:28" x14ac:dyDescent="0.25">
      <c r="A29" s="73"/>
      <c r="B29" s="73"/>
      <c r="C29" s="51">
        <v>-8</v>
      </c>
      <c r="D29" s="47"/>
      <c r="E29" s="47"/>
      <c r="F29" s="51">
        <v>-9</v>
      </c>
      <c r="H29" s="51">
        <v>-10</v>
      </c>
      <c r="J29" s="52">
        <v>-11</v>
      </c>
      <c r="L29" s="51">
        <v>-12</v>
      </c>
      <c r="M29" s="47"/>
      <c r="N29" s="51">
        <v>-13</v>
      </c>
      <c r="P29" s="51">
        <v>-14</v>
      </c>
      <c r="Q29" s="46"/>
      <c r="R29" s="51">
        <v>-15</v>
      </c>
      <c r="X29" s="47"/>
      <c r="AA29" s="47"/>
      <c r="AB29" s="47"/>
    </row>
    <row r="30" spans="1:28" ht="30" customHeight="1" x14ac:dyDescent="0.25">
      <c r="A30" s="56" t="s">
        <v>82</v>
      </c>
      <c r="B30" s="35" t="s">
        <v>83</v>
      </c>
      <c r="C30" s="60">
        <f>+R16</f>
        <v>8597406</v>
      </c>
      <c r="D30" s="55"/>
      <c r="E30" s="35"/>
      <c r="F30" s="65">
        <f>ROUND(+C30/$C$33,4)</f>
        <v>1.9E-3</v>
      </c>
      <c r="H30" s="60">
        <f>ROUND(+F30*$H$33,0)</f>
        <v>-1781548</v>
      </c>
      <c r="J30" s="60">
        <f>ROUND(+F30*$J$33,0)</f>
        <v>-9862</v>
      </c>
      <c r="L30" s="74">
        <f>+C30+H30+J30</f>
        <v>6805996</v>
      </c>
      <c r="M30" s="47"/>
      <c r="N30" s="75">
        <f>ROUND(+L30/$L$33,4)</f>
        <v>1.9E-3</v>
      </c>
      <c r="O30" s="76"/>
      <c r="P30" s="77">
        <f>ROUND('Q1 - KU ECC Feb17'!S65,4)</f>
        <v>8.8999999999999999E-3</v>
      </c>
      <c r="Q30" s="66"/>
      <c r="R30" s="77">
        <f>ROUND(+$N$30*$P$30,4)</f>
        <v>0</v>
      </c>
      <c r="X30" s="47"/>
      <c r="AA30" s="78"/>
      <c r="AB30" s="79"/>
    </row>
    <row r="31" spans="1:28" ht="30" customHeight="1" x14ac:dyDescent="0.25">
      <c r="A31" s="56" t="s">
        <v>85</v>
      </c>
      <c r="B31" s="35" t="s">
        <v>86</v>
      </c>
      <c r="C31" s="55">
        <f>+R17</f>
        <v>2085417626</v>
      </c>
      <c r="D31" s="55"/>
      <c r="E31" s="35"/>
      <c r="F31" s="65">
        <f>ROUND(+C31/$C$33,4)</f>
        <v>0.4642</v>
      </c>
      <c r="H31" s="55">
        <f>ROUND(+F31*$H$33,0)</f>
        <v>-435260394</v>
      </c>
      <c r="J31" s="55">
        <f>ROUND(+F31*$J$33,0)</f>
        <v>-2409535</v>
      </c>
      <c r="L31" s="81">
        <f>+C31+H31+J31</f>
        <v>1647747697</v>
      </c>
      <c r="M31" s="47"/>
      <c r="N31" s="75">
        <f>ROUND(+L31/$L$33,4)</f>
        <v>0.4642</v>
      </c>
      <c r="O31" s="76"/>
      <c r="P31" s="77">
        <f>ROUND('Q1 - KU ECC Feb17'!S49,4)</f>
        <v>4.1000000000000002E-2</v>
      </c>
      <c r="Q31" s="66"/>
      <c r="R31" s="77">
        <f>ROUND(+$N$31*$P$31,4)</f>
        <v>1.9E-2</v>
      </c>
      <c r="U31" s="80"/>
      <c r="V31" s="80"/>
      <c r="W31" s="80"/>
      <c r="X31" s="80"/>
      <c r="Z31" s="80"/>
      <c r="AA31" s="78"/>
      <c r="AB31" s="79"/>
    </row>
    <row r="32" spans="1:28" ht="30" customHeight="1" x14ac:dyDescent="0.25">
      <c r="A32" s="56" t="s">
        <v>87</v>
      </c>
      <c r="B32" s="35" t="s">
        <v>88</v>
      </c>
      <c r="C32" s="55">
        <f>+R18</f>
        <v>2398241613</v>
      </c>
      <c r="D32" s="55"/>
      <c r="E32" s="35"/>
      <c r="F32" s="65">
        <f>ROUND(1-F30-F31,4)</f>
        <v>0.53390000000000004</v>
      </c>
      <c r="H32" s="55">
        <f>+H33-H30-H31</f>
        <v>-500615090</v>
      </c>
      <c r="J32" s="55">
        <f>+J33-J30-J31</f>
        <v>-2771328</v>
      </c>
      <c r="L32" s="81">
        <f>+C32+H32+J32</f>
        <v>1894855195</v>
      </c>
      <c r="N32" s="65">
        <f>ROUND(1-N30-N31,4)</f>
        <v>0.53390000000000004</v>
      </c>
      <c r="O32" s="76"/>
      <c r="P32" s="77">
        <v>0.1</v>
      </c>
      <c r="Q32" s="66"/>
      <c r="R32" s="77">
        <f>ROUND(+$N$32*$P$32,4)</f>
        <v>5.3400000000000003E-2</v>
      </c>
      <c r="AA32" s="82"/>
      <c r="AB32" s="79"/>
    </row>
    <row r="33" spans="1:28" ht="30" customHeight="1" thickBot="1" x14ac:dyDescent="0.3">
      <c r="A33" s="56" t="s">
        <v>89</v>
      </c>
      <c r="B33" s="35" t="s">
        <v>90</v>
      </c>
      <c r="C33" s="69">
        <f>SUM(C30:C32)</f>
        <v>4492256645</v>
      </c>
      <c r="D33" s="55"/>
      <c r="E33" s="35"/>
      <c r="F33" s="83">
        <f>SUM(F30:F32)</f>
        <v>1</v>
      </c>
      <c r="H33" s="69">
        <v>-937657032</v>
      </c>
      <c r="J33" s="69">
        <v>-5190725</v>
      </c>
      <c r="L33" s="69">
        <f>SUM(L30:L32)</f>
        <v>3549408888</v>
      </c>
      <c r="N33" s="83">
        <f>SUM(N30:N32)</f>
        <v>1</v>
      </c>
      <c r="P33" s="79"/>
      <c r="Q33" s="35"/>
      <c r="R33" s="84">
        <f>ROUND(SUM(R30:R32),4)</f>
        <v>7.2400000000000006E-2</v>
      </c>
      <c r="AB33" s="79"/>
    </row>
    <row r="34" spans="1:28" ht="35.1" customHeight="1" thickTop="1" thickBot="1" x14ac:dyDescent="0.3">
      <c r="A34" s="56" t="s">
        <v>104</v>
      </c>
      <c r="B34" s="35" t="s">
        <v>105</v>
      </c>
      <c r="R34" s="85">
        <f>ROUND(R33+(R33-R31-R30)*(38.666%/(1-38.666%)),4)</f>
        <v>0.1061</v>
      </c>
    </row>
    <row r="35" spans="1:28" ht="16.5" thickTop="1" x14ac:dyDescent="0.25"/>
    <row r="37" spans="1:28" x14ac:dyDescent="0.25">
      <c r="A37" s="36" t="s">
        <v>84</v>
      </c>
      <c r="B37" s="86" t="s">
        <v>106</v>
      </c>
    </row>
    <row r="40" spans="1:28" x14ac:dyDescent="0.25">
      <c r="L40" s="87"/>
      <c r="N40" s="88"/>
      <c r="P40" s="89"/>
    </row>
    <row r="41" spans="1:28" x14ac:dyDescent="0.25">
      <c r="L41" s="87"/>
      <c r="N41" s="88"/>
    </row>
  </sheetData>
  <printOptions horizontalCentered="1" gridLines="1" gridLinesSet="0"/>
  <pageMargins left="0.32" right="0.33" top="0.75" bottom="0.5" header="0.5" footer="0"/>
  <pageSetup scale="59" orientation="landscape" r:id="rId1"/>
  <headerFooter scaleWithDoc="0">
    <oddFooter xml:space="preserve">&amp;R&amp;"Times New Roman,Bold"&amp;12&amp;K000000Attachment to Response to Question No. 1
Page 3 of 5
Rahn/Metts&amp;"Arial,Bold"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41"/>
  <sheetViews>
    <sheetView zoomScaleNormal="100" workbookViewId="0"/>
  </sheetViews>
  <sheetFormatPr defaultColWidth="20.83203125" defaultRowHeight="15.75" x14ac:dyDescent="0.25"/>
  <cols>
    <col min="1" max="1" width="6.33203125" style="36" customWidth="1"/>
    <col min="2" max="2" width="38.83203125" style="36" customWidth="1"/>
    <col min="3" max="3" width="22.1640625" style="36" customWidth="1"/>
    <col min="4" max="4" width="4.6640625" style="36" bestFit="1" customWidth="1"/>
    <col min="5" max="5" width="2" style="36" customWidth="1"/>
    <col min="6" max="6" width="18.6640625" style="36" bestFit="1" customWidth="1"/>
    <col min="7" max="7" width="2.33203125" style="36" customWidth="1"/>
    <col min="8" max="8" width="29.83203125" style="36" bestFit="1" customWidth="1"/>
    <col min="9" max="9" width="2.33203125" style="36" customWidth="1"/>
    <col min="10" max="10" width="22.1640625" style="36" customWidth="1"/>
    <col min="11" max="11" width="2.33203125" style="36" customWidth="1"/>
    <col min="12" max="12" width="22.1640625" style="36" customWidth="1"/>
    <col min="13" max="13" width="2.6640625" style="36" customWidth="1"/>
    <col min="14" max="14" width="22.1640625" style="36" customWidth="1"/>
    <col min="15" max="15" width="2.6640625" style="36" customWidth="1"/>
    <col min="16" max="16" width="22.1640625" style="36" customWidth="1"/>
    <col min="17" max="17" width="2.1640625" style="36" customWidth="1"/>
    <col min="18" max="18" width="22.1640625" style="36" customWidth="1"/>
    <col min="19" max="20" width="2.1640625" style="36" customWidth="1"/>
    <col min="21" max="21" width="22.1640625" style="36" customWidth="1"/>
    <col min="22" max="22" width="2.6640625" style="36" customWidth="1"/>
    <col min="23" max="23" width="21.33203125" style="36" customWidth="1"/>
    <col min="24" max="24" width="2.83203125" style="36" customWidth="1"/>
    <col min="25" max="25" width="19.1640625" style="36" customWidth="1"/>
    <col min="26" max="26" width="3.33203125" style="36" customWidth="1"/>
    <col min="27" max="27" width="21.1640625" style="36" customWidth="1"/>
    <col min="28" max="16384" width="20.83203125" style="36"/>
  </cols>
  <sheetData>
    <row r="1" spans="1:27" x14ac:dyDescent="0.25">
      <c r="A1" s="33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V1" s="35"/>
      <c r="X1" s="35"/>
      <c r="Y1" s="35"/>
      <c r="Z1" s="35"/>
    </row>
    <row r="2" spans="1:27" x14ac:dyDescent="0.25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V2" s="35"/>
      <c r="X2" s="35"/>
      <c r="Y2" s="35"/>
      <c r="Z2" s="35"/>
    </row>
    <row r="3" spans="1:27" x14ac:dyDescent="0.25">
      <c r="A3" s="34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X3" s="35"/>
      <c r="Y3" s="35"/>
    </row>
    <row r="4" spans="1:27" x14ac:dyDescent="0.25">
      <c r="A4" s="37" t="s">
        <v>61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  <c r="U4" s="38"/>
      <c r="V4" s="38"/>
      <c r="W4" s="39"/>
      <c r="X4" s="40"/>
      <c r="Y4" s="40"/>
      <c r="Z4" s="40"/>
      <c r="AA4" s="40"/>
    </row>
    <row r="5" spans="1:27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35"/>
      <c r="Y5" s="35"/>
      <c r="Z5" s="35"/>
      <c r="AA5" s="35"/>
    </row>
    <row r="6" spans="1:27" x14ac:dyDescent="0.25">
      <c r="A6" s="182" t="s">
        <v>131</v>
      </c>
      <c r="B6" s="182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9"/>
      <c r="U6" s="39"/>
      <c r="V6" s="39"/>
      <c r="W6" s="39"/>
      <c r="X6" s="40"/>
      <c r="Y6" s="40"/>
      <c r="Z6" s="40"/>
      <c r="AA6" s="40"/>
    </row>
    <row r="7" spans="1:27" x14ac:dyDescent="0.25">
      <c r="A7" s="42" t="s">
        <v>110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9"/>
      <c r="U7" s="39"/>
      <c r="V7" s="39"/>
      <c r="W7" s="41"/>
    </row>
    <row r="8" spans="1:27" x14ac:dyDescent="0.25">
      <c r="A8" s="43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4"/>
      <c r="S8" s="39"/>
      <c r="T8" s="39"/>
      <c r="U8" s="39"/>
      <c r="V8" s="39"/>
      <c r="W8" s="41"/>
    </row>
    <row r="9" spans="1:27" ht="18" x14ac:dyDescent="0.4">
      <c r="A9" s="3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27" x14ac:dyDescent="0.25">
      <c r="A10" s="34"/>
      <c r="B10" s="34"/>
      <c r="C10" s="35"/>
      <c r="D10" s="35"/>
      <c r="E10" s="35"/>
      <c r="H10" s="35"/>
      <c r="I10" s="35"/>
      <c r="J10" s="35"/>
      <c r="K10" s="35"/>
      <c r="L10" s="46" t="s">
        <v>62</v>
      </c>
      <c r="O10" s="35"/>
      <c r="P10" s="35"/>
      <c r="Q10" s="35"/>
      <c r="R10" s="35"/>
      <c r="T10" s="46"/>
    </row>
    <row r="11" spans="1:27" x14ac:dyDescent="0.25">
      <c r="A11" s="34"/>
      <c r="B11" s="34"/>
      <c r="C11" s="46"/>
      <c r="D11" s="46"/>
      <c r="E11" s="46"/>
      <c r="H11" s="46"/>
      <c r="I11" s="46"/>
      <c r="J11" s="46"/>
      <c r="K11" s="46"/>
      <c r="L11" s="46" t="s">
        <v>63</v>
      </c>
      <c r="M11" s="46"/>
      <c r="N11" s="46" t="s">
        <v>64</v>
      </c>
      <c r="Q11" s="46"/>
      <c r="R11" s="47" t="s">
        <v>65</v>
      </c>
      <c r="T11" s="47"/>
      <c r="V11" s="46"/>
      <c r="W11" s="46"/>
    </row>
    <row r="12" spans="1:27" x14ac:dyDescent="0.25">
      <c r="A12" s="34"/>
      <c r="B12" s="34"/>
      <c r="C12" s="46"/>
      <c r="D12" s="46"/>
      <c r="E12" s="46"/>
      <c r="F12" s="46"/>
      <c r="H12" s="46"/>
      <c r="I12" s="46"/>
      <c r="J12" s="46" t="s">
        <v>66</v>
      </c>
      <c r="K12" s="46"/>
      <c r="L12" s="46" t="s">
        <v>67</v>
      </c>
      <c r="M12" s="46"/>
      <c r="N12" s="46" t="s">
        <v>68</v>
      </c>
      <c r="O12" s="47"/>
      <c r="P12" s="46" t="s">
        <v>69</v>
      </c>
      <c r="Q12" s="46"/>
      <c r="R12" s="46" t="s">
        <v>69</v>
      </c>
    </row>
    <row r="13" spans="1:27" x14ac:dyDescent="0.25">
      <c r="A13" s="34"/>
      <c r="B13" s="35"/>
      <c r="C13" s="46" t="s">
        <v>70</v>
      </c>
      <c r="D13" s="46"/>
      <c r="E13" s="46"/>
      <c r="F13" s="47" t="s">
        <v>71</v>
      </c>
      <c r="H13" s="46"/>
      <c r="I13" s="46"/>
      <c r="J13" s="46" t="s">
        <v>72</v>
      </c>
      <c r="K13" s="46"/>
      <c r="L13" s="46" t="s">
        <v>73</v>
      </c>
      <c r="M13" s="46"/>
      <c r="N13" s="46" t="s">
        <v>73</v>
      </c>
      <c r="O13" s="47"/>
      <c r="P13" s="46" t="s">
        <v>74</v>
      </c>
      <c r="Q13" s="46"/>
      <c r="R13" s="47" t="s">
        <v>73</v>
      </c>
    </row>
    <row r="14" spans="1:27" x14ac:dyDescent="0.25">
      <c r="A14" s="35"/>
      <c r="B14" s="35"/>
      <c r="C14" s="48" t="s">
        <v>111</v>
      </c>
      <c r="D14" s="46"/>
      <c r="E14" s="46"/>
      <c r="F14" s="47" t="s">
        <v>75</v>
      </c>
      <c r="H14" s="46" t="s">
        <v>76</v>
      </c>
      <c r="I14" s="46"/>
      <c r="J14" s="49" t="s">
        <v>77</v>
      </c>
      <c r="K14" s="46"/>
      <c r="L14" s="49" t="s">
        <v>78</v>
      </c>
      <c r="M14" s="46"/>
      <c r="N14" s="50" t="s">
        <v>79</v>
      </c>
      <c r="O14" s="47"/>
      <c r="P14" s="46" t="s">
        <v>80</v>
      </c>
      <c r="Q14" s="46"/>
      <c r="R14" s="49" t="s">
        <v>81</v>
      </c>
    </row>
    <row r="15" spans="1:27" x14ac:dyDescent="0.25">
      <c r="A15" s="35"/>
      <c r="B15" s="35"/>
      <c r="C15" s="51">
        <v>-1</v>
      </c>
      <c r="D15" s="46"/>
      <c r="E15" s="47"/>
      <c r="F15" s="51">
        <v>-2</v>
      </c>
      <c r="H15" s="51">
        <v>-3</v>
      </c>
      <c r="I15" s="46"/>
      <c r="J15" s="52">
        <v>-4</v>
      </c>
      <c r="K15" s="46"/>
      <c r="L15" s="52">
        <v>-5</v>
      </c>
      <c r="M15" s="46"/>
      <c r="N15" s="51">
        <v>-6</v>
      </c>
      <c r="O15" s="46"/>
      <c r="P15" s="51">
        <v>-7</v>
      </c>
      <c r="Q15" s="46"/>
      <c r="R15" s="51">
        <v>-8</v>
      </c>
    </row>
    <row r="16" spans="1:27" ht="30" customHeight="1" x14ac:dyDescent="0.25">
      <c r="A16" s="56" t="s">
        <v>82</v>
      </c>
      <c r="B16" s="35" t="s">
        <v>83</v>
      </c>
      <c r="C16" s="60">
        <f>ROUND('Q1 - KU ECC Feb17'!F65,0)</f>
        <v>9653651</v>
      </c>
      <c r="D16" s="58" t="s">
        <v>84</v>
      </c>
      <c r="E16" s="35"/>
      <c r="F16" s="65">
        <f>ROUND(C16/$C$19,4)</f>
        <v>1.9E-3</v>
      </c>
      <c r="H16" s="60">
        <v>0</v>
      </c>
      <c r="I16" s="35"/>
      <c r="J16" s="60">
        <f>ROUND(+F16*$J$19,0)</f>
        <v>-2320</v>
      </c>
      <c r="K16" s="35"/>
      <c r="L16" s="60">
        <f>SUM(H16:K16)</f>
        <v>-2320</v>
      </c>
      <c r="M16" s="35"/>
      <c r="N16" s="61">
        <f>+C16+L16</f>
        <v>9651331</v>
      </c>
      <c r="P16" s="77">
        <v>0.89080000000000004</v>
      </c>
      <c r="Q16" s="35"/>
      <c r="R16" s="61">
        <f>ROUND(+N16*P16,0)</f>
        <v>8597406</v>
      </c>
    </row>
    <row r="17" spans="1:28" ht="30" customHeight="1" x14ac:dyDescent="0.25">
      <c r="A17" s="56" t="s">
        <v>85</v>
      </c>
      <c r="B17" s="35" t="s">
        <v>86</v>
      </c>
      <c r="C17" s="55">
        <f>ROUND('Q1 - KU ECC Feb17'!F49,0)</f>
        <v>2341628480</v>
      </c>
      <c r="D17" s="58" t="s">
        <v>84</v>
      </c>
      <c r="E17" s="35"/>
      <c r="F17" s="65">
        <f>ROUND(C17/$C$19,4)</f>
        <v>0.4642</v>
      </c>
      <c r="H17" s="64">
        <v>0</v>
      </c>
      <c r="I17" s="35"/>
      <c r="J17" s="55">
        <f>ROUND(+F17*$J$19,0)</f>
        <v>-566933</v>
      </c>
      <c r="K17" s="35"/>
      <c r="L17" s="55">
        <f>SUM(H17:K17)</f>
        <v>-566933</v>
      </c>
      <c r="M17" s="35"/>
      <c r="N17" s="62">
        <f>+C17+L17</f>
        <v>2341061547</v>
      </c>
      <c r="P17" s="63">
        <f>+P16</f>
        <v>0.89080000000000004</v>
      </c>
      <c r="Q17" s="35"/>
      <c r="R17" s="62">
        <f>ROUND(+N17*P17,0)</f>
        <v>2085417626</v>
      </c>
    </row>
    <row r="18" spans="1:28" ht="30" customHeight="1" x14ac:dyDescent="0.25">
      <c r="A18" s="56" t="s">
        <v>87</v>
      </c>
      <c r="B18" s="35" t="s">
        <v>88</v>
      </c>
      <c r="C18" s="55">
        <v>2693389639</v>
      </c>
      <c r="D18" s="35"/>
      <c r="E18" s="35"/>
      <c r="F18" s="59">
        <f>ROUND(1-F16-F17,4)</f>
        <v>0.53390000000000004</v>
      </c>
      <c r="H18" s="64">
        <f>H19</f>
        <v>-504066</v>
      </c>
      <c r="I18" s="35"/>
      <c r="J18" s="64">
        <f>+J19-J16-J17</f>
        <v>-652060</v>
      </c>
      <c r="K18" s="35"/>
      <c r="L18" s="64">
        <f>SUM(H18:K18)</f>
        <v>-1156126</v>
      </c>
      <c r="M18" s="35"/>
      <c r="N18" s="62">
        <f>+C18+L18</f>
        <v>2692233513</v>
      </c>
      <c r="P18" s="63">
        <f>+P16</f>
        <v>0.89080000000000004</v>
      </c>
      <c r="Q18" s="35"/>
      <c r="R18" s="62">
        <f>ROUND(+N18*P18,0)</f>
        <v>2398241613</v>
      </c>
    </row>
    <row r="19" spans="1:28" ht="30" customHeight="1" thickBot="1" x14ac:dyDescent="0.3">
      <c r="A19" s="56" t="s">
        <v>89</v>
      </c>
      <c r="B19" s="35" t="s">
        <v>90</v>
      </c>
      <c r="C19" s="67">
        <f>SUM(C16:C18)</f>
        <v>5044671770</v>
      </c>
      <c r="D19" s="35"/>
      <c r="E19" s="35"/>
      <c r="F19" s="68">
        <f>SUM(F16:F18)</f>
        <v>1</v>
      </c>
      <c r="H19" s="69">
        <v>-504066</v>
      </c>
      <c r="I19" s="35"/>
      <c r="J19" s="69">
        <v>-1221313</v>
      </c>
      <c r="K19" s="35"/>
      <c r="L19" s="69">
        <f>SUM(L16:L18)</f>
        <v>-1725379</v>
      </c>
      <c r="M19" s="35"/>
      <c r="N19" s="69">
        <f>SUM(N16:N18)</f>
        <v>5042946391</v>
      </c>
      <c r="Q19" s="35"/>
      <c r="R19" s="69">
        <f>SUM(R16:R18)</f>
        <v>4492256645</v>
      </c>
    </row>
    <row r="20" spans="1:28" ht="16.5" thickTop="1" x14ac:dyDescent="0.25">
      <c r="A20" s="35"/>
      <c r="B20" s="35"/>
      <c r="C20" s="35"/>
      <c r="D20" s="35"/>
      <c r="E20" s="35"/>
      <c r="F20" s="35"/>
      <c r="H20" s="35"/>
      <c r="I20" s="35"/>
      <c r="J20" s="35"/>
      <c r="K20" s="35"/>
      <c r="L20" s="35"/>
      <c r="M20" s="35"/>
      <c r="N20" s="35"/>
      <c r="O20" s="35"/>
      <c r="Q20" s="35"/>
      <c r="S20" s="35"/>
    </row>
    <row r="21" spans="1:28" x14ac:dyDescent="0.25">
      <c r="A21" s="35"/>
      <c r="B21" s="35"/>
      <c r="C21" s="57"/>
      <c r="D21" s="35"/>
      <c r="E21" s="35"/>
      <c r="F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T21" s="35"/>
    </row>
    <row r="22" spans="1:28" ht="18" x14ac:dyDescent="0.4">
      <c r="A22" s="35"/>
      <c r="B22" s="3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35"/>
    </row>
    <row r="23" spans="1:28" ht="18" x14ac:dyDescent="0.4">
      <c r="A23" s="35"/>
      <c r="B23" s="3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35"/>
    </row>
    <row r="24" spans="1:28" ht="18" x14ac:dyDescent="0.4">
      <c r="A24" s="35"/>
      <c r="B24" s="35"/>
      <c r="C24" s="45"/>
      <c r="D24" s="45"/>
      <c r="E24" s="45"/>
      <c r="F24" s="45"/>
      <c r="G24" s="45"/>
      <c r="H24" s="70"/>
      <c r="I24" s="45"/>
      <c r="J24" s="70"/>
      <c r="K24" s="45"/>
      <c r="L24" s="70" t="s">
        <v>91</v>
      </c>
      <c r="M24" s="45"/>
      <c r="N24" s="45"/>
      <c r="O24" s="45"/>
      <c r="R24" s="35"/>
      <c r="S24" s="35"/>
      <c r="X24" s="35"/>
      <c r="AB24" s="47"/>
    </row>
    <row r="25" spans="1:28" ht="18" x14ac:dyDescent="0.4">
      <c r="A25" s="35"/>
      <c r="B25" s="35"/>
      <c r="C25" s="45"/>
      <c r="D25" s="45"/>
      <c r="E25" s="45"/>
      <c r="F25" s="45"/>
      <c r="G25" s="45"/>
      <c r="H25" s="70"/>
      <c r="I25" s="45"/>
      <c r="J25" s="70"/>
      <c r="K25" s="45"/>
      <c r="L25" s="47" t="s">
        <v>65</v>
      </c>
      <c r="M25" s="45"/>
      <c r="P25" s="46"/>
      <c r="Q25" s="46"/>
      <c r="R25" s="46" t="s">
        <v>92</v>
      </c>
      <c r="X25" s="35"/>
      <c r="AB25" s="47"/>
    </row>
    <row r="26" spans="1:28" x14ac:dyDescent="0.25">
      <c r="A26" s="35"/>
      <c r="B26" s="35"/>
      <c r="C26" s="47" t="s">
        <v>65</v>
      </c>
      <c r="D26" s="35"/>
      <c r="E26" s="35"/>
      <c r="F26" s="35"/>
      <c r="H26" s="70" t="s">
        <v>93</v>
      </c>
      <c r="J26" s="54" t="s">
        <v>94</v>
      </c>
      <c r="L26" s="46" t="s">
        <v>69</v>
      </c>
      <c r="M26" s="35"/>
      <c r="N26" s="47" t="s">
        <v>91</v>
      </c>
      <c r="P26" s="46" t="s">
        <v>95</v>
      </c>
      <c r="Q26" s="46"/>
      <c r="R26" s="46" t="s">
        <v>96</v>
      </c>
      <c r="X26" s="35"/>
      <c r="AA26" s="47"/>
      <c r="AB26" s="47"/>
    </row>
    <row r="27" spans="1:28" ht="18" x14ac:dyDescent="0.4">
      <c r="C27" s="46" t="s">
        <v>69</v>
      </c>
      <c r="D27" s="71"/>
      <c r="E27" s="71"/>
      <c r="F27" s="47" t="s">
        <v>71</v>
      </c>
      <c r="H27" s="46" t="s">
        <v>97</v>
      </c>
      <c r="J27" s="54" t="s">
        <v>74</v>
      </c>
      <c r="L27" s="47" t="s">
        <v>73</v>
      </c>
      <c r="M27" s="71"/>
      <c r="N27" s="47" t="s">
        <v>71</v>
      </c>
      <c r="P27" s="46" t="s">
        <v>92</v>
      </c>
      <c r="Q27" s="46"/>
      <c r="R27" s="46" t="s">
        <v>98</v>
      </c>
      <c r="X27" s="71"/>
      <c r="AA27" s="47"/>
      <c r="AB27" s="72"/>
    </row>
    <row r="28" spans="1:28" x14ac:dyDescent="0.25">
      <c r="A28" s="53"/>
      <c r="B28" s="73"/>
      <c r="C28" s="47" t="s">
        <v>73</v>
      </c>
      <c r="F28" s="47" t="s">
        <v>75</v>
      </c>
      <c r="H28" s="49" t="s">
        <v>99</v>
      </c>
      <c r="J28" s="49" t="s">
        <v>100</v>
      </c>
      <c r="L28" s="49" t="s">
        <v>101</v>
      </c>
      <c r="N28" s="47" t="s">
        <v>75</v>
      </c>
      <c r="P28" s="46" t="s">
        <v>102</v>
      </c>
      <c r="Q28" s="46"/>
      <c r="R28" s="50" t="s">
        <v>103</v>
      </c>
      <c r="X28" s="47"/>
      <c r="AA28" s="47"/>
      <c r="AB28" s="72"/>
    </row>
    <row r="29" spans="1:28" x14ac:dyDescent="0.25">
      <c r="A29" s="73"/>
      <c r="B29" s="73"/>
      <c r="C29" s="51">
        <v>-8</v>
      </c>
      <c r="D29" s="47"/>
      <c r="E29" s="47"/>
      <c r="F29" s="51">
        <v>-9</v>
      </c>
      <c r="H29" s="51">
        <v>-10</v>
      </c>
      <c r="J29" s="52">
        <v>-11</v>
      </c>
      <c r="L29" s="51">
        <v>-12</v>
      </c>
      <c r="M29" s="47"/>
      <c r="N29" s="51">
        <v>-13</v>
      </c>
      <c r="P29" s="51">
        <v>-14</v>
      </c>
      <c r="Q29" s="46"/>
      <c r="R29" s="51">
        <v>-15</v>
      </c>
      <c r="X29" s="47"/>
      <c r="AA29" s="47"/>
      <c r="AB29" s="47"/>
    </row>
    <row r="30" spans="1:28" ht="30" customHeight="1" x14ac:dyDescent="0.25">
      <c r="A30" s="56" t="s">
        <v>82</v>
      </c>
      <c r="B30" s="35" t="s">
        <v>83</v>
      </c>
      <c r="C30" s="60">
        <f>+R16</f>
        <v>8597406</v>
      </c>
      <c r="D30" s="55"/>
      <c r="E30" s="35"/>
      <c r="F30" s="65">
        <f>ROUND(+C30/$C$33,4)</f>
        <v>1.9E-3</v>
      </c>
      <c r="H30" s="60">
        <f>ROUND(+F30*$H$33,0)</f>
        <v>-1781548</v>
      </c>
      <c r="J30" s="60">
        <f>ROUND(+F30*$J$33,0)</f>
        <v>-9862</v>
      </c>
      <c r="L30" s="74">
        <f>+C30+H30+J30</f>
        <v>6805996</v>
      </c>
      <c r="M30" s="47"/>
      <c r="N30" s="75">
        <f>ROUND(+L30/$L$33,4)</f>
        <v>1.9E-3</v>
      </c>
      <c r="O30" s="76"/>
      <c r="P30" s="77">
        <f>ROUND('Q1 - KU ECC Feb17'!S65,4)</f>
        <v>8.8999999999999999E-3</v>
      </c>
      <c r="Q30" s="66"/>
      <c r="R30" s="77">
        <f>ROUND(+$N$30*$P$30,4)</f>
        <v>0</v>
      </c>
      <c r="X30" s="47"/>
      <c r="AA30" s="78"/>
      <c r="AB30" s="79"/>
    </row>
    <row r="31" spans="1:28" ht="30" customHeight="1" x14ac:dyDescent="0.25">
      <c r="A31" s="56" t="s">
        <v>85</v>
      </c>
      <c r="B31" s="35" t="s">
        <v>86</v>
      </c>
      <c r="C31" s="55">
        <f>+R17</f>
        <v>2085417626</v>
      </c>
      <c r="D31" s="55"/>
      <c r="E31" s="35"/>
      <c r="F31" s="65">
        <f>ROUND(+C31/$C$33,4)</f>
        <v>0.4642</v>
      </c>
      <c r="H31" s="55">
        <f>ROUND(+F31*$H$33,0)</f>
        <v>-435260394</v>
      </c>
      <c r="J31" s="55">
        <f>ROUND(+F31*$J$33,0)</f>
        <v>-2409535</v>
      </c>
      <c r="L31" s="81">
        <f>+C31+H31+J31</f>
        <v>1647747697</v>
      </c>
      <c r="M31" s="47"/>
      <c r="N31" s="75">
        <f>ROUND(+L31/$L$33,4)</f>
        <v>0.4642</v>
      </c>
      <c r="O31" s="76"/>
      <c r="P31" s="77">
        <f>ROUND('Q1 - KU ECC Feb17'!S49,4)</f>
        <v>4.1000000000000002E-2</v>
      </c>
      <c r="Q31" s="66"/>
      <c r="R31" s="77">
        <f>ROUND(+$N$31*$P$31,4)</f>
        <v>1.9E-2</v>
      </c>
      <c r="U31" s="80"/>
      <c r="V31" s="80"/>
      <c r="W31" s="80"/>
      <c r="X31" s="80"/>
      <c r="Z31" s="80"/>
      <c r="AA31" s="78"/>
      <c r="AB31" s="79"/>
    </row>
    <row r="32" spans="1:28" ht="30" customHeight="1" x14ac:dyDescent="0.25">
      <c r="A32" s="56" t="s">
        <v>87</v>
      </c>
      <c r="B32" s="35" t="s">
        <v>88</v>
      </c>
      <c r="C32" s="55">
        <f>+R18</f>
        <v>2398241613</v>
      </c>
      <c r="D32" s="55"/>
      <c r="E32" s="35"/>
      <c r="F32" s="65">
        <f>ROUND(1-F30-F31,4)</f>
        <v>0.53390000000000004</v>
      </c>
      <c r="H32" s="55">
        <f>+H33-H30-H31</f>
        <v>-500615090</v>
      </c>
      <c r="J32" s="55">
        <f>+J33-J30-J31</f>
        <v>-2771328</v>
      </c>
      <c r="L32" s="81">
        <f>+C32+H32+J32</f>
        <v>1894855195</v>
      </c>
      <c r="N32" s="65">
        <f>ROUND(1-N30-N31,4)</f>
        <v>0.53390000000000004</v>
      </c>
      <c r="O32" s="76"/>
      <c r="P32" s="77">
        <v>9.8000000000000004E-2</v>
      </c>
      <c r="Q32" s="66"/>
      <c r="R32" s="77">
        <f>ROUND(+$N$32*$P$32,4)</f>
        <v>5.2299999999999999E-2</v>
      </c>
      <c r="AA32" s="82"/>
      <c r="AB32" s="79"/>
    </row>
    <row r="33" spans="1:28" ht="30" customHeight="1" thickBot="1" x14ac:dyDescent="0.3">
      <c r="A33" s="56" t="s">
        <v>89</v>
      </c>
      <c r="B33" s="35" t="s">
        <v>90</v>
      </c>
      <c r="C33" s="69">
        <f>SUM(C30:C32)</f>
        <v>4492256645</v>
      </c>
      <c r="D33" s="55"/>
      <c r="E33" s="35"/>
      <c r="F33" s="83">
        <f>SUM(F30:F32)</f>
        <v>1</v>
      </c>
      <c r="H33" s="69">
        <v>-937657032</v>
      </c>
      <c r="J33" s="69">
        <v>-5190725</v>
      </c>
      <c r="L33" s="69">
        <f>SUM(L30:L32)</f>
        <v>3549408888</v>
      </c>
      <c r="N33" s="83">
        <f>SUM(N30:N32)</f>
        <v>1</v>
      </c>
      <c r="P33" s="79"/>
      <c r="Q33" s="35"/>
      <c r="R33" s="84">
        <f>ROUND(SUM(R30:R32),4)</f>
        <v>7.1300000000000002E-2</v>
      </c>
      <c r="AB33" s="79"/>
    </row>
    <row r="34" spans="1:28" ht="35.1" customHeight="1" thickTop="1" thickBot="1" x14ac:dyDescent="0.3">
      <c r="A34" s="56" t="s">
        <v>104</v>
      </c>
      <c r="B34" s="35" t="s">
        <v>105</v>
      </c>
      <c r="R34" s="85">
        <f>ROUND(R33+(R33-R31-R30)*(38.666%/(1-38.666%)),4)</f>
        <v>0.1043</v>
      </c>
    </row>
    <row r="35" spans="1:28" ht="16.5" thickTop="1" x14ac:dyDescent="0.25"/>
    <row r="37" spans="1:28" x14ac:dyDescent="0.25">
      <c r="A37" s="36" t="s">
        <v>84</v>
      </c>
      <c r="B37" s="86" t="s">
        <v>106</v>
      </c>
    </row>
    <row r="40" spans="1:28" x14ac:dyDescent="0.25">
      <c r="L40" s="87"/>
      <c r="N40" s="88"/>
      <c r="P40" s="89"/>
    </row>
    <row r="41" spans="1:28" x14ac:dyDescent="0.25">
      <c r="L41" s="87"/>
      <c r="N41" s="88"/>
    </row>
  </sheetData>
  <printOptions horizontalCentered="1" gridLines="1" gridLinesSet="0"/>
  <pageMargins left="0.32" right="0.33" top="0.75" bottom="0.5" header="0.5" footer="0"/>
  <pageSetup scale="59" firstPageNumber="2" orientation="landscape" r:id="rId1"/>
  <headerFooter scaleWithDoc="0">
    <oddFooter>&amp;R&amp;"Times New Roman,Bold"&amp;12&amp;K000000Attachment to Response to Question No. 1
Page 4 of 5
Rahn/Metts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zoomScaleNormal="100" workbookViewId="0">
      <selection sqref="A1:S1"/>
    </sheetView>
  </sheetViews>
  <sheetFormatPr defaultColWidth="11.33203125" defaultRowHeight="15" x14ac:dyDescent="0.2"/>
  <cols>
    <col min="1" max="1" width="53.83203125" style="191" customWidth="1"/>
    <col min="2" max="2" width="12.6640625" style="246" customWidth="1"/>
    <col min="3" max="3" width="4.6640625" style="247" customWidth="1"/>
    <col min="4" max="4" width="12.1640625" style="191" customWidth="1"/>
    <col min="5" max="5" width="4.6640625" style="247" customWidth="1"/>
    <col min="6" max="6" width="22" style="191" bestFit="1" customWidth="1"/>
    <col min="7" max="7" width="4.6640625" style="226" customWidth="1"/>
    <col min="8" max="8" width="22" style="191" bestFit="1" customWidth="1"/>
    <col min="9" max="9" width="4.6640625" style="247" customWidth="1"/>
    <col min="10" max="10" width="19.6640625" style="191" customWidth="1"/>
    <col min="11" max="11" width="4.6640625" style="247" customWidth="1"/>
    <col min="12" max="12" width="4.6640625" style="191" customWidth="1"/>
    <col min="13" max="13" width="18.6640625" style="191" customWidth="1"/>
    <col min="14" max="14" width="4.6640625" style="247" customWidth="1"/>
    <col min="15" max="15" width="19.33203125" style="191" customWidth="1"/>
    <col min="16" max="16" width="4.6640625" style="191" customWidth="1"/>
    <col min="17" max="17" width="18.1640625" style="191" bestFit="1" customWidth="1"/>
    <col min="18" max="18" width="4.6640625" style="191" customWidth="1"/>
    <col min="19" max="19" width="14.5" style="254" bestFit="1" customWidth="1"/>
    <col min="20" max="20" width="21.33203125" style="191" bestFit="1" customWidth="1"/>
    <col min="21" max="16384" width="11.33203125" style="191"/>
  </cols>
  <sheetData>
    <row r="1" spans="1:19" s="183" customFormat="1" ht="15.75" x14ac:dyDescent="0.25">
      <c r="A1" s="322" t="s">
        <v>61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</row>
    <row r="2" spans="1:19" s="183" customFormat="1" ht="15.75" x14ac:dyDescent="0.25">
      <c r="A2" s="322" t="s">
        <v>132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</row>
    <row r="3" spans="1:19" s="183" customFormat="1" ht="15.75" x14ac:dyDescent="0.25">
      <c r="A3" s="322" t="s">
        <v>133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</row>
    <row r="4" spans="1:19" s="184" customFormat="1" ht="15.75" x14ac:dyDescent="0.25">
      <c r="A4" s="323" t="s">
        <v>134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</row>
    <row r="5" spans="1:19" s="183" customFormat="1" ht="20.25" x14ac:dyDescent="0.3">
      <c r="A5" s="317" t="s">
        <v>135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9"/>
    </row>
    <row r="6" spans="1:19" ht="15.75" x14ac:dyDescent="0.25">
      <c r="A6" s="185"/>
      <c r="B6" s="186"/>
      <c r="C6" s="187"/>
      <c r="D6" s="188"/>
      <c r="E6" s="187"/>
      <c r="F6" s="188"/>
      <c r="G6" s="189"/>
      <c r="H6" s="188"/>
      <c r="I6" s="187"/>
      <c r="J6" s="188"/>
      <c r="K6" s="187"/>
      <c r="L6" s="188"/>
      <c r="M6" s="188"/>
      <c r="N6" s="187"/>
      <c r="O6" s="188"/>
      <c r="P6" s="188"/>
      <c r="Q6" s="188"/>
      <c r="R6" s="188"/>
      <c r="S6" s="190"/>
    </row>
    <row r="7" spans="1:19" x14ac:dyDescent="0.2">
      <c r="A7" s="192"/>
      <c r="B7" s="186"/>
      <c r="C7" s="193"/>
      <c r="D7" s="188"/>
      <c r="E7" s="193"/>
      <c r="F7" s="188"/>
      <c r="G7" s="188"/>
      <c r="H7" s="320" t="s">
        <v>136</v>
      </c>
      <c r="I7" s="320"/>
      <c r="J7" s="320"/>
      <c r="K7" s="320"/>
      <c r="L7" s="320"/>
      <c r="M7" s="320"/>
      <c r="N7" s="320"/>
      <c r="O7" s="320"/>
      <c r="P7" s="320"/>
      <c r="Q7" s="320"/>
      <c r="R7" s="186"/>
      <c r="S7" s="194"/>
    </row>
    <row r="8" spans="1:19" x14ac:dyDescent="0.2">
      <c r="A8" s="195"/>
      <c r="B8" s="186"/>
      <c r="C8" s="193"/>
      <c r="D8" s="188"/>
      <c r="E8" s="193"/>
      <c r="F8" s="188"/>
      <c r="G8" s="188"/>
      <c r="H8" s="188"/>
      <c r="I8" s="193"/>
      <c r="J8" s="186" t="s">
        <v>137</v>
      </c>
      <c r="K8" s="193"/>
      <c r="L8" s="186"/>
      <c r="M8" s="186" t="s">
        <v>138</v>
      </c>
      <c r="N8" s="193"/>
      <c r="O8" s="186" t="s">
        <v>139</v>
      </c>
      <c r="P8" s="188"/>
      <c r="Q8" s="186"/>
      <c r="R8" s="186"/>
      <c r="S8" s="194" t="s">
        <v>140</v>
      </c>
    </row>
    <row r="9" spans="1:19" ht="30" x14ac:dyDescent="0.2">
      <c r="A9" s="195"/>
      <c r="B9" s="196" t="s">
        <v>141</v>
      </c>
      <c r="C9" s="193"/>
      <c r="D9" s="196" t="s">
        <v>102</v>
      </c>
      <c r="E9" s="193"/>
      <c r="F9" s="196" t="s">
        <v>142</v>
      </c>
      <c r="G9" s="188"/>
      <c r="H9" s="197" t="s">
        <v>143</v>
      </c>
      <c r="I9" s="193"/>
      <c r="J9" s="198" t="s">
        <v>144</v>
      </c>
      <c r="K9" s="193"/>
      <c r="L9" s="186"/>
      <c r="M9" s="198" t="s">
        <v>145</v>
      </c>
      <c r="N9" s="199"/>
      <c r="O9" s="197" t="s">
        <v>146</v>
      </c>
      <c r="P9" s="188"/>
      <c r="Q9" s="197" t="s">
        <v>147</v>
      </c>
      <c r="R9" s="186"/>
      <c r="S9" s="200" t="s">
        <v>148</v>
      </c>
    </row>
    <row r="10" spans="1:19" ht="15.75" x14ac:dyDescent="0.25">
      <c r="A10" s="201" t="s">
        <v>149</v>
      </c>
      <c r="B10" s="202"/>
      <c r="C10" s="193"/>
      <c r="D10" s="203"/>
      <c r="E10" s="193"/>
      <c r="F10" s="204"/>
      <c r="G10" s="193"/>
      <c r="H10" s="204"/>
      <c r="I10" s="193"/>
      <c r="J10" s="205"/>
      <c r="K10" s="206"/>
      <c r="L10" s="205"/>
      <c r="M10" s="204"/>
      <c r="N10" s="207"/>
      <c r="O10" s="204"/>
      <c r="P10" s="204"/>
      <c r="Q10" s="204"/>
      <c r="R10" s="188"/>
      <c r="S10" s="190"/>
    </row>
    <row r="11" spans="1:19" ht="17.25" customHeight="1" x14ac:dyDescent="0.2">
      <c r="A11" s="195" t="s">
        <v>150</v>
      </c>
      <c r="B11" s="202">
        <v>45047</v>
      </c>
      <c r="C11" s="193"/>
      <c r="D11" s="208">
        <v>7.0899999999999999E-3</v>
      </c>
      <c r="E11" s="209" t="s">
        <v>151</v>
      </c>
      <c r="F11" s="210">
        <v>12900000</v>
      </c>
      <c r="G11" s="211"/>
      <c r="H11" s="210">
        <f t="shared" ref="H11:H20" si="0">ROUND(D11*F11,0)</f>
        <v>91461</v>
      </c>
      <c r="I11" s="193"/>
      <c r="J11" s="212">
        <v>11061.396243093934</v>
      </c>
      <c r="K11" s="213"/>
      <c r="L11" s="204"/>
      <c r="M11" s="210">
        <v>35933.575082873002</v>
      </c>
      <c r="N11" s="213"/>
      <c r="O11" s="210">
        <v>97783.767149999985</v>
      </c>
      <c r="P11" s="214" t="s">
        <v>152</v>
      </c>
      <c r="Q11" s="210">
        <f>H11+J11+M11+O11</f>
        <v>236239.73847596691</v>
      </c>
      <c r="R11" s="188"/>
      <c r="S11" s="215">
        <f t="shared" ref="S11:S20" si="1">ROUND((Q11/F11),5)</f>
        <v>1.831E-2</v>
      </c>
    </row>
    <row r="12" spans="1:19" ht="17.25" customHeight="1" x14ac:dyDescent="0.2">
      <c r="A12" s="195" t="s">
        <v>153</v>
      </c>
      <c r="B12" s="202">
        <v>11720</v>
      </c>
      <c r="C12" s="193"/>
      <c r="D12" s="216">
        <v>8.0700000000000008E-3</v>
      </c>
      <c r="E12" s="209" t="s">
        <v>151</v>
      </c>
      <c r="F12" s="212">
        <v>20930000</v>
      </c>
      <c r="G12" s="193"/>
      <c r="H12" s="212">
        <f t="shared" si="0"/>
        <v>168905</v>
      </c>
      <c r="I12" s="193"/>
      <c r="J12" s="212">
        <v>3997.360331491715</v>
      </c>
      <c r="K12" s="213"/>
      <c r="L12" s="188"/>
      <c r="M12" s="212">
        <v>36344.685580110556</v>
      </c>
      <c r="N12" s="213"/>
      <c r="O12" s="212">
        <v>20930</v>
      </c>
      <c r="P12" s="188" t="s">
        <v>152</v>
      </c>
      <c r="Q12" s="212">
        <f t="shared" ref="Q12:Q38" si="2">H12+J12+M12+O12</f>
        <v>230177.04591160227</v>
      </c>
      <c r="R12" s="188"/>
      <c r="S12" s="215">
        <f t="shared" si="1"/>
        <v>1.0999999999999999E-2</v>
      </c>
    </row>
    <row r="13" spans="1:19" ht="17.25" customHeight="1" x14ac:dyDescent="0.2">
      <c r="A13" s="195" t="s">
        <v>154</v>
      </c>
      <c r="B13" s="202">
        <v>11720</v>
      </c>
      <c r="C13" s="193"/>
      <c r="D13" s="216">
        <v>8.0999999999999996E-3</v>
      </c>
      <c r="E13" s="209" t="s">
        <v>151</v>
      </c>
      <c r="F13" s="212">
        <v>2400000</v>
      </c>
      <c r="G13" s="193"/>
      <c r="H13" s="212">
        <f t="shared" si="0"/>
        <v>19440</v>
      </c>
      <c r="I13" s="193"/>
      <c r="J13" s="212">
        <v>2771.4187845303868</v>
      </c>
      <c r="K13" s="213"/>
      <c r="L13" s="188"/>
      <c r="M13" s="212">
        <v>4160.7845856353742</v>
      </c>
      <c r="N13" s="213"/>
      <c r="O13" s="212">
        <v>2400</v>
      </c>
      <c r="P13" s="188" t="s">
        <v>152</v>
      </c>
      <c r="Q13" s="212">
        <f t="shared" si="2"/>
        <v>28772.20337016576</v>
      </c>
      <c r="R13" s="188"/>
      <c r="S13" s="215">
        <f t="shared" si="1"/>
        <v>1.1990000000000001E-2</v>
      </c>
    </row>
    <row r="14" spans="1:19" ht="17.25" customHeight="1" x14ac:dyDescent="0.2">
      <c r="A14" s="195" t="s">
        <v>155</v>
      </c>
      <c r="B14" s="202">
        <v>11720</v>
      </c>
      <c r="C14" s="193"/>
      <c r="D14" s="216">
        <v>7.3299999999999997E-3</v>
      </c>
      <c r="E14" s="209" t="s">
        <v>151</v>
      </c>
      <c r="F14" s="212">
        <v>2400000</v>
      </c>
      <c r="G14" s="193"/>
      <c r="H14" s="212">
        <f t="shared" si="0"/>
        <v>17592</v>
      </c>
      <c r="I14" s="193"/>
      <c r="J14" s="212">
        <v>1123.7465193370185</v>
      </c>
      <c r="K14" s="213"/>
      <c r="L14" s="188"/>
      <c r="M14" s="212">
        <v>12920.293922651921</v>
      </c>
      <c r="N14" s="213"/>
      <c r="O14" s="212">
        <v>2400</v>
      </c>
      <c r="P14" s="188" t="s">
        <v>152</v>
      </c>
      <c r="Q14" s="212">
        <f t="shared" si="2"/>
        <v>34036.040441988938</v>
      </c>
      <c r="R14" s="188"/>
      <c r="S14" s="215">
        <f t="shared" si="1"/>
        <v>1.418E-2</v>
      </c>
    </row>
    <row r="15" spans="1:19" ht="17.25" customHeight="1" x14ac:dyDescent="0.2">
      <c r="A15" s="195" t="s">
        <v>156</v>
      </c>
      <c r="B15" s="202">
        <v>11720</v>
      </c>
      <c r="C15" s="193"/>
      <c r="D15" s="216">
        <v>7.3299999999999997E-3</v>
      </c>
      <c r="E15" s="209" t="s">
        <v>151</v>
      </c>
      <c r="F15" s="212">
        <v>7400000</v>
      </c>
      <c r="G15" s="193"/>
      <c r="H15" s="212">
        <f t="shared" si="0"/>
        <v>54242</v>
      </c>
      <c r="I15" s="193"/>
      <c r="J15" s="212">
        <v>3098.6255801105049</v>
      </c>
      <c r="K15" s="213"/>
      <c r="L15" s="188"/>
      <c r="M15" s="212">
        <v>12769.276629834285</v>
      </c>
      <c r="N15" s="213"/>
      <c r="O15" s="212">
        <v>7400</v>
      </c>
      <c r="P15" s="188" t="s">
        <v>152</v>
      </c>
      <c r="Q15" s="212">
        <f t="shared" si="2"/>
        <v>77509.90220994479</v>
      </c>
      <c r="R15" s="188"/>
      <c r="S15" s="215">
        <f t="shared" si="1"/>
        <v>1.047E-2</v>
      </c>
    </row>
    <row r="16" spans="1:19" ht="17.25" customHeight="1" x14ac:dyDescent="0.2">
      <c r="A16" s="195" t="s">
        <v>157</v>
      </c>
      <c r="B16" s="202">
        <v>49218</v>
      </c>
      <c r="C16" s="193"/>
      <c r="D16" s="216">
        <v>6.9300000000000004E-3</v>
      </c>
      <c r="E16" s="209" t="s">
        <v>151</v>
      </c>
      <c r="F16" s="212">
        <v>50000000</v>
      </c>
      <c r="G16" s="193"/>
      <c r="H16" s="212">
        <f t="shared" si="0"/>
        <v>346500</v>
      </c>
      <c r="I16" s="193"/>
      <c r="J16" s="212">
        <v>10152.20104972381</v>
      </c>
      <c r="K16" s="213"/>
      <c r="L16" s="188"/>
      <c r="M16" s="212">
        <v>95055.267845304144</v>
      </c>
      <c r="N16" s="213"/>
      <c r="O16" s="212">
        <v>380609.58905000007</v>
      </c>
      <c r="P16" s="188" t="s">
        <v>152</v>
      </c>
      <c r="Q16" s="212">
        <f t="shared" si="2"/>
        <v>832317.05794502806</v>
      </c>
      <c r="R16" s="188"/>
      <c r="S16" s="215">
        <f t="shared" si="1"/>
        <v>1.6650000000000002E-2</v>
      </c>
    </row>
    <row r="17" spans="1:22" ht="17.25" customHeight="1" x14ac:dyDescent="0.2">
      <c r="A17" s="195" t="s">
        <v>158</v>
      </c>
      <c r="B17" s="202">
        <v>49218</v>
      </c>
      <c r="C17" s="193"/>
      <c r="D17" s="216">
        <v>6.8999999999999999E-3</v>
      </c>
      <c r="E17" s="209" t="s">
        <v>151</v>
      </c>
      <c r="F17" s="212">
        <v>54000000</v>
      </c>
      <c r="G17" s="193"/>
      <c r="H17" s="212">
        <f t="shared" si="0"/>
        <v>372600</v>
      </c>
      <c r="I17" s="193"/>
      <c r="J17" s="212">
        <v>47818.723701657531</v>
      </c>
      <c r="K17" s="213"/>
      <c r="L17" s="188"/>
      <c r="M17" s="212">
        <v>13256.815082872919</v>
      </c>
      <c r="N17" s="213"/>
      <c r="O17" s="212">
        <v>411491.09590999997</v>
      </c>
      <c r="P17" s="188" t="s">
        <v>152</v>
      </c>
      <c r="Q17" s="212">
        <f t="shared" si="2"/>
        <v>845166.6346945304</v>
      </c>
      <c r="R17" s="188"/>
      <c r="S17" s="215">
        <f t="shared" si="1"/>
        <v>1.5650000000000001E-2</v>
      </c>
    </row>
    <row r="18" spans="1:22" ht="17.25" customHeight="1" x14ac:dyDescent="0.2">
      <c r="A18" s="195" t="s">
        <v>159</v>
      </c>
      <c r="B18" s="202">
        <v>46054</v>
      </c>
      <c r="C18" s="193"/>
      <c r="D18" s="216">
        <v>5.7500000000000002E-2</v>
      </c>
      <c r="E18" s="209"/>
      <c r="F18" s="212">
        <v>17875000</v>
      </c>
      <c r="G18" s="193"/>
      <c r="H18" s="212">
        <f t="shared" si="0"/>
        <v>1027813</v>
      </c>
      <c r="I18" s="193"/>
      <c r="J18" s="212">
        <v>10950.018011049773</v>
      </c>
      <c r="K18" s="213"/>
      <c r="L18" s="188"/>
      <c r="M18" s="212">
        <v>22431.515966850875</v>
      </c>
      <c r="N18" s="193"/>
      <c r="O18" s="212">
        <v>0</v>
      </c>
      <c r="P18" s="188"/>
      <c r="Q18" s="212">
        <f t="shared" si="2"/>
        <v>1061194.5339779006</v>
      </c>
      <c r="R18" s="188"/>
      <c r="S18" s="215">
        <f t="shared" si="1"/>
        <v>5.9369999999999999E-2</v>
      </c>
    </row>
    <row r="19" spans="1:22" ht="17.25" customHeight="1" x14ac:dyDescent="0.2">
      <c r="A19" s="195" t="s">
        <v>160</v>
      </c>
      <c r="B19" s="202">
        <v>50100</v>
      </c>
      <c r="C19" s="193"/>
      <c r="D19" s="216">
        <v>0.06</v>
      </c>
      <c r="E19" s="209"/>
      <c r="F19" s="212">
        <v>8927000</v>
      </c>
      <c r="G19" s="193"/>
      <c r="H19" s="212">
        <f t="shared" si="0"/>
        <v>535620</v>
      </c>
      <c r="I19" s="193"/>
      <c r="J19" s="212">
        <v>5277.7270165745749</v>
      </c>
      <c r="K19" s="213"/>
      <c r="L19" s="204"/>
      <c r="M19" s="212">
        <v>10817.163204419949</v>
      </c>
      <c r="N19" s="193"/>
      <c r="O19" s="212">
        <v>0</v>
      </c>
      <c r="P19" s="188"/>
      <c r="Q19" s="212">
        <f t="shared" si="2"/>
        <v>551714.89022099448</v>
      </c>
      <c r="R19" s="188"/>
      <c r="S19" s="215">
        <f t="shared" si="1"/>
        <v>6.1800000000000001E-2</v>
      </c>
    </row>
    <row r="20" spans="1:22" ht="17.25" customHeight="1" x14ac:dyDescent="0.2">
      <c r="A20" s="195" t="s">
        <v>161</v>
      </c>
      <c r="B20" s="202">
        <v>11720</v>
      </c>
      <c r="C20" s="193"/>
      <c r="D20" s="216">
        <v>6.9300000000000004E-3</v>
      </c>
      <c r="E20" s="209" t="s">
        <v>151</v>
      </c>
      <c r="F20" s="212">
        <v>77947405</v>
      </c>
      <c r="G20" s="193"/>
      <c r="H20" s="212">
        <f t="shared" si="0"/>
        <v>540176</v>
      </c>
      <c r="I20" s="193"/>
      <c r="J20" s="212">
        <v>34391.21497237571</v>
      </c>
      <c r="K20" s="213"/>
      <c r="L20" s="188"/>
      <c r="M20" s="212">
        <v>91325.10994475153</v>
      </c>
      <c r="N20" s="213"/>
      <c r="O20" s="212">
        <v>593975.24271499994</v>
      </c>
      <c r="P20" s="188" t="s">
        <v>152</v>
      </c>
      <c r="Q20" s="212">
        <f t="shared" si="2"/>
        <v>1259867.5676321271</v>
      </c>
      <c r="R20" s="188"/>
      <c r="S20" s="215">
        <f t="shared" si="1"/>
        <v>1.6160000000000001E-2</v>
      </c>
    </row>
    <row r="21" spans="1:22" ht="17.25" customHeight="1" x14ac:dyDescent="0.2">
      <c r="A21" s="195" t="s">
        <v>162</v>
      </c>
      <c r="B21" s="202">
        <v>15585</v>
      </c>
      <c r="C21" s="193"/>
      <c r="D21" s="216">
        <v>1.191E-2</v>
      </c>
      <c r="E21" s="209"/>
      <c r="F21" s="212">
        <v>96000000</v>
      </c>
      <c r="G21" s="193"/>
      <c r="H21" s="212">
        <f>ROUND(D21*F21,0)</f>
        <v>1143360</v>
      </c>
      <c r="I21" s="193"/>
      <c r="J21" s="212">
        <v>187809.73038674047</v>
      </c>
      <c r="K21" s="213"/>
      <c r="L21" s="188"/>
      <c r="M21" s="212">
        <v>160986.88187845395</v>
      </c>
      <c r="N21" s="213"/>
      <c r="O21" s="212">
        <v>36246.629834254141</v>
      </c>
      <c r="P21" s="188" t="s">
        <v>163</v>
      </c>
      <c r="Q21" s="212">
        <f>H21+J21+M21+O21</f>
        <v>1528403.2420994486</v>
      </c>
      <c r="R21" s="188"/>
      <c r="S21" s="215">
        <f>ROUND((Q21/F21),5)</f>
        <v>1.592E-2</v>
      </c>
    </row>
    <row r="22" spans="1:22" ht="17.25" customHeight="1" x14ac:dyDescent="0.2">
      <c r="A22" s="195" t="s">
        <v>164</v>
      </c>
      <c r="B22" s="202"/>
      <c r="C22" s="193"/>
      <c r="D22" s="203"/>
      <c r="E22" s="193"/>
      <c r="F22" s="212">
        <v>0</v>
      </c>
      <c r="G22" s="193"/>
      <c r="H22" s="212">
        <v>0</v>
      </c>
      <c r="I22" s="193"/>
      <c r="J22" s="212">
        <v>0</v>
      </c>
      <c r="K22" s="213"/>
      <c r="L22" s="188"/>
      <c r="M22" s="212">
        <v>5832.0765745856588</v>
      </c>
      <c r="N22" s="193"/>
      <c r="O22" s="212"/>
      <c r="P22" s="188"/>
      <c r="Q22" s="212">
        <f t="shared" si="2"/>
        <v>5832.0765745856588</v>
      </c>
      <c r="R22" s="188"/>
      <c r="S22" s="215"/>
    </row>
    <row r="23" spans="1:22" ht="17.25" customHeight="1" thickBot="1" x14ac:dyDescent="0.25">
      <c r="A23" s="195"/>
      <c r="B23" s="202"/>
      <c r="C23" s="193"/>
      <c r="D23" s="203"/>
      <c r="E23" s="193"/>
      <c r="F23" s="212"/>
      <c r="G23" s="193"/>
      <c r="H23" s="212"/>
      <c r="I23" s="193"/>
      <c r="J23" s="212"/>
      <c r="K23" s="193"/>
      <c r="L23" s="188"/>
      <c r="M23" s="212"/>
      <c r="N23" s="193"/>
      <c r="O23" s="212"/>
      <c r="P23" s="188"/>
      <c r="Q23" s="212"/>
      <c r="R23" s="188"/>
      <c r="S23" s="215"/>
    </row>
    <row r="24" spans="1:22" ht="16.5" thickBot="1" x14ac:dyDescent="0.3">
      <c r="A24" s="201" t="s">
        <v>165</v>
      </c>
      <c r="B24" s="217"/>
      <c r="C24" s="193"/>
      <c r="D24" s="218"/>
      <c r="E24" s="193"/>
      <c r="F24" s="219">
        <f>SUM(F11:F23)</f>
        <v>350779405</v>
      </c>
      <c r="G24" s="220"/>
      <c r="H24" s="219">
        <f>SUM(H11:H23)</f>
        <v>4317709</v>
      </c>
      <c r="I24" s="220"/>
      <c r="J24" s="219">
        <f>SUM(J11:J23)</f>
        <v>318452.16259668546</v>
      </c>
      <c r="K24" s="220"/>
      <c r="L24" s="210"/>
      <c r="M24" s="219">
        <f>SUM(M11:M23)</f>
        <v>501833.44629834418</v>
      </c>
      <c r="N24" s="221"/>
      <c r="O24" s="219">
        <f>SUM(O11:O23)</f>
        <v>1553236.3246592539</v>
      </c>
      <c r="P24" s="210"/>
      <c r="Q24" s="219">
        <f>SUM(Q11:Q23)</f>
        <v>6691230.9335542833</v>
      </c>
      <c r="R24" s="188"/>
      <c r="S24" s="222">
        <f>ROUND(+Q24/F24,5)</f>
        <v>1.908E-2</v>
      </c>
      <c r="V24" s="223"/>
    </row>
    <row r="25" spans="1:22" ht="30" customHeight="1" x14ac:dyDescent="0.25">
      <c r="A25" s="201" t="s">
        <v>166</v>
      </c>
      <c r="B25" s="202"/>
      <c r="C25" s="193"/>
      <c r="D25" s="203"/>
      <c r="E25" s="193"/>
      <c r="F25" s="212"/>
      <c r="G25" s="193"/>
      <c r="H25" s="212"/>
      <c r="I25" s="193"/>
      <c r="J25" s="212"/>
      <c r="K25" s="206"/>
      <c r="L25" s="205"/>
      <c r="M25" s="212"/>
      <c r="N25" s="224"/>
      <c r="O25" s="212"/>
      <c r="P25" s="188"/>
      <c r="Q25" s="212"/>
      <c r="R25" s="188"/>
      <c r="S25" s="215"/>
    </row>
    <row r="26" spans="1:22" ht="17.25" customHeight="1" x14ac:dyDescent="0.2">
      <c r="A26" s="195" t="s">
        <v>167</v>
      </c>
      <c r="B26" s="202">
        <v>44136</v>
      </c>
      <c r="C26" s="193"/>
      <c r="D26" s="216">
        <v>3.2500000000000001E-2</v>
      </c>
      <c r="E26" s="193"/>
      <c r="F26" s="212">
        <v>500000000</v>
      </c>
      <c r="G26" s="225"/>
      <c r="H26" s="212">
        <f>ROUND(D26*F26,0)</f>
        <v>16250000</v>
      </c>
      <c r="I26" s="193"/>
      <c r="J26" s="212">
        <v>420705.87403314945</v>
      </c>
      <c r="K26" s="206" t="s">
        <v>168</v>
      </c>
      <c r="L26" s="205"/>
      <c r="M26" s="212"/>
      <c r="N26" s="224"/>
      <c r="O26" s="212"/>
      <c r="P26" s="188"/>
      <c r="Q26" s="212">
        <f t="shared" si="2"/>
        <v>16670705.874033149</v>
      </c>
      <c r="R26" s="188"/>
      <c r="S26" s="215">
        <f>ROUND((Q26/F26),5)</f>
        <v>3.3340000000000002E-2</v>
      </c>
    </row>
    <row r="27" spans="1:22" ht="17.25" customHeight="1" x14ac:dyDescent="0.2">
      <c r="A27" s="195" t="s">
        <v>169</v>
      </c>
      <c r="B27" s="202">
        <v>44136</v>
      </c>
      <c r="C27" s="193"/>
      <c r="D27" s="216">
        <v>3.2500000000000001E-2</v>
      </c>
      <c r="E27" s="193"/>
      <c r="F27" s="212">
        <v>-743353.49</v>
      </c>
      <c r="G27" s="225"/>
      <c r="H27" s="212"/>
      <c r="I27" s="193"/>
      <c r="J27" s="212">
        <v>189973.57972375679</v>
      </c>
      <c r="K27" s="206" t="s">
        <v>168</v>
      </c>
      <c r="L27" s="205"/>
      <c r="M27" s="212"/>
      <c r="N27" s="224"/>
      <c r="O27" s="212"/>
      <c r="P27" s="188"/>
      <c r="Q27" s="212">
        <f t="shared" si="2"/>
        <v>189973.57972375679</v>
      </c>
      <c r="R27" s="188"/>
      <c r="S27" s="215">
        <f t="shared" ref="S27:S37" si="3">ROUND((Q27/F27),5)</f>
        <v>-0.25556000000000001</v>
      </c>
    </row>
    <row r="28" spans="1:22" ht="17.25" customHeight="1" x14ac:dyDescent="0.2">
      <c r="A28" s="195" t="s">
        <v>170</v>
      </c>
      <c r="B28" s="202">
        <v>51441</v>
      </c>
      <c r="C28" s="193"/>
      <c r="D28" s="216">
        <v>5.1249999999999997E-2</v>
      </c>
      <c r="E28" s="193"/>
      <c r="F28" s="212">
        <v>750000000</v>
      </c>
      <c r="G28" s="225"/>
      <c r="H28" s="212">
        <f>ROUND(D28*F28,0)</f>
        <v>38437500</v>
      </c>
      <c r="I28" s="193"/>
      <c r="J28" s="212">
        <v>250247.81237569102</v>
      </c>
      <c r="K28" s="206" t="s">
        <v>168</v>
      </c>
      <c r="L28" s="205"/>
      <c r="M28" s="212"/>
      <c r="N28" s="224"/>
      <c r="O28" s="212"/>
      <c r="P28" s="188"/>
      <c r="Q28" s="212">
        <f t="shared" si="2"/>
        <v>38687747.812375695</v>
      </c>
      <c r="R28" s="188"/>
      <c r="S28" s="215">
        <f t="shared" si="3"/>
        <v>5.1580000000000001E-2</v>
      </c>
    </row>
    <row r="29" spans="1:22" ht="17.25" customHeight="1" x14ac:dyDescent="0.2">
      <c r="A29" s="195" t="s">
        <v>169</v>
      </c>
      <c r="B29" s="202">
        <v>51441</v>
      </c>
      <c r="C29" s="193"/>
      <c r="D29" s="216">
        <v>5.1249999999999997E-2</v>
      </c>
      <c r="E29" s="193"/>
      <c r="F29" s="212">
        <v>-6496211.0457142862</v>
      </c>
      <c r="G29" s="225"/>
      <c r="H29" s="212"/>
      <c r="I29" s="193"/>
      <c r="J29" s="212">
        <v>271924.74685082957</v>
      </c>
      <c r="K29" s="206" t="s">
        <v>168</v>
      </c>
      <c r="L29" s="205"/>
      <c r="M29" s="212"/>
      <c r="N29" s="224"/>
      <c r="O29" s="212"/>
      <c r="P29" s="188"/>
      <c r="Q29" s="212">
        <f t="shared" si="2"/>
        <v>271924.74685082957</v>
      </c>
      <c r="R29" s="188"/>
      <c r="S29" s="215">
        <f t="shared" si="3"/>
        <v>-4.1860000000000001E-2</v>
      </c>
    </row>
    <row r="30" spans="1:22" ht="17.25" customHeight="1" x14ac:dyDescent="0.2">
      <c r="A30" s="195" t="s">
        <v>171</v>
      </c>
      <c r="B30" s="202">
        <v>52550</v>
      </c>
      <c r="C30" s="193"/>
      <c r="D30" s="216">
        <v>4.65E-2</v>
      </c>
      <c r="E30" s="193"/>
      <c r="F30" s="212">
        <v>250000000</v>
      </c>
      <c r="H30" s="212">
        <f>ROUND(D30*F30,0)</f>
        <v>11625000</v>
      </c>
      <c r="I30" s="193"/>
      <c r="J30" s="212">
        <v>92415.606408838619</v>
      </c>
      <c r="K30" s="206" t="s">
        <v>168</v>
      </c>
      <c r="L30" s="205"/>
      <c r="M30" s="212"/>
      <c r="N30" s="224"/>
      <c r="O30" s="212"/>
      <c r="P30" s="188"/>
      <c r="Q30" s="212">
        <f t="shared" si="2"/>
        <v>11717415.606408838</v>
      </c>
      <c r="R30" s="188"/>
      <c r="S30" s="215">
        <f t="shared" si="3"/>
        <v>4.6870000000000002E-2</v>
      </c>
    </row>
    <row r="31" spans="1:22" ht="17.25" customHeight="1" x14ac:dyDescent="0.2">
      <c r="A31" s="195" t="s">
        <v>169</v>
      </c>
      <c r="B31" s="202">
        <v>52550</v>
      </c>
      <c r="C31" s="193"/>
      <c r="D31" s="216">
        <v>4.65E-2</v>
      </c>
      <c r="E31" s="193"/>
      <c r="F31" s="212">
        <v>-1617151.2014285715</v>
      </c>
      <c r="G31" s="193"/>
      <c r="H31" s="212"/>
      <c r="I31" s="193"/>
      <c r="J31" s="212">
        <v>60066.88944751391</v>
      </c>
      <c r="K31" s="206" t="s">
        <v>168</v>
      </c>
      <c r="L31" s="205"/>
      <c r="M31" s="212"/>
      <c r="N31" s="224"/>
      <c r="O31" s="212"/>
      <c r="P31" s="188"/>
      <c r="Q31" s="212">
        <f t="shared" si="2"/>
        <v>60066.88944751391</v>
      </c>
      <c r="R31" s="188"/>
      <c r="S31" s="215">
        <f t="shared" si="3"/>
        <v>-3.7139999999999999E-2</v>
      </c>
    </row>
    <row r="32" spans="1:22" ht="17.25" customHeight="1" x14ac:dyDescent="0.2">
      <c r="A32" s="195" t="s">
        <v>172</v>
      </c>
      <c r="B32" s="202">
        <v>52550</v>
      </c>
      <c r="C32" s="193"/>
      <c r="D32" s="216"/>
      <c r="E32" s="193"/>
      <c r="F32" s="212"/>
      <c r="G32" s="213"/>
      <c r="H32" s="212">
        <v>-1436013.1494034999</v>
      </c>
      <c r="I32" s="193"/>
      <c r="J32" s="212"/>
      <c r="K32" s="206"/>
      <c r="L32" s="205"/>
      <c r="M32" s="212"/>
      <c r="N32" s="224"/>
      <c r="O32" s="212"/>
      <c r="P32" s="188"/>
      <c r="Q32" s="212">
        <f t="shared" si="2"/>
        <v>-1436013.1494034999</v>
      </c>
      <c r="R32" s="188"/>
      <c r="S32" s="215">
        <f>ROUND((Q32/43027967.76),5)</f>
        <v>-3.3369999999999997E-2</v>
      </c>
    </row>
    <row r="33" spans="1:22" ht="17.25" customHeight="1" x14ac:dyDescent="0.2">
      <c r="A33" s="195" t="s">
        <v>173</v>
      </c>
      <c r="B33" s="202">
        <v>45931</v>
      </c>
      <c r="C33" s="193"/>
      <c r="D33" s="216">
        <v>3.3000000000000002E-2</v>
      </c>
      <c r="E33" s="193"/>
      <c r="F33" s="212">
        <v>250000000</v>
      </c>
      <c r="G33" s="213"/>
      <c r="H33" s="212">
        <f>ROUND(D33*F33,0)</f>
        <v>8250000</v>
      </c>
      <c r="I33" s="193"/>
      <c r="J33" s="212">
        <v>201796.9727071822</v>
      </c>
      <c r="K33" s="206" t="s">
        <v>168</v>
      </c>
      <c r="L33" s="205"/>
      <c r="M33" s="212"/>
      <c r="N33" s="224"/>
      <c r="O33" s="212"/>
      <c r="P33" s="188"/>
      <c r="Q33" s="212">
        <f t="shared" si="2"/>
        <v>8451796.9727071822</v>
      </c>
      <c r="R33" s="188"/>
      <c r="S33" s="215">
        <f t="shared" si="3"/>
        <v>3.381E-2</v>
      </c>
    </row>
    <row r="34" spans="1:22" ht="17.25" customHeight="1" x14ac:dyDescent="0.2">
      <c r="A34" s="195" t="s">
        <v>169</v>
      </c>
      <c r="B34" s="202">
        <v>45931</v>
      </c>
      <c r="C34" s="193"/>
      <c r="D34" s="216">
        <v>3.3000000000000002E-2</v>
      </c>
      <c r="E34" s="193"/>
      <c r="F34" s="212">
        <v>-94852.201428571439</v>
      </c>
      <c r="G34" s="213"/>
      <c r="H34" s="212"/>
      <c r="I34" s="193"/>
      <c r="J34" s="212">
        <v>10752.149944751347</v>
      </c>
      <c r="K34" s="206" t="s">
        <v>168</v>
      </c>
      <c r="L34" s="205"/>
      <c r="M34" s="212"/>
      <c r="N34" s="224"/>
      <c r="O34" s="212"/>
      <c r="P34" s="188"/>
      <c r="Q34" s="212">
        <f t="shared" si="2"/>
        <v>10752.149944751347</v>
      </c>
      <c r="R34" s="188"/>
      <c r="S34" s="215">
        <f t="shared" si="3"/>
        <v>-0.11336</v>
      </c>
    </row>
    <row r="35" spans="1:22" ht="17.25" customHeight="1" x14ac:dyDescent="0.2">
      <c r="A35" s="195" t="s">
        <v>174</v>
      </c>
      <c r="B35" s="202">
        <v>45931</v>
      </c>
      <c r="C35" s="193"/>
      <c r="D35" s="216"/>
      <c r="E35" s="193"/>
      <c r="F35" s="212"/>
      <c r="G35" s="213"/>
      <c r="H35" s="212">
        <v>1407976.670276243</v>
      </c>
      <c r="I35" s="193"/>
      <c r="J35" s="212"/>
      <c r="K35" s="206"/>
      <c r="L35" s="205"/>
      <c r="M35" s="212"/>
      <c r="N35" s="224"/>
      <c r="O35" s="212"/>
      <c r="P35" s="188"/>
      <c r="Q35" s="212">
        <f t="shared" si="2"/>
        <v>1407976.670276243</v>
      </c>
      <c r="R35" s="188"/>
      <c r="S35" s="215">
        <f>ROUND((Q35/14076899),5)</f>
        <v>0.10002</v>
      </c>
    </row>
    <row r="36" spans="1:22" ht="17.25" customHeight="1" x14ac:dyDescent="0.2">
      <c r="A36" s="195" t="s">
        <v>175</v>
      </c>
      <c r="B36" s="202">
        <v>53236</v>
      </c>
      <c r="C36" s="193"/>
      <c r="D36" s="216">
        <v>4.3749999999999997E-2</v>
      </c>
      <c r="E36" s="193"/>
      <c r="F36" s="212">
        <v>250000000</v>
      </c>
      <c r="G36" s="213"/>
      <c r="H36" s="212">
        <f>ROUND(D36*F36,0)</f>
        <v>10937500</v>
      </c>
      <c r="I36" s="193"/>
      <c r="J36" s="212">
        <v>86007.663977901073</v>
      </c>
      <c r="K36" s="206" t="s">
        <v>168</v>
      </c>
      <c r="L36" s="205"/>
      <c r="M36" s="212"/>
      <c r="N36" s="224"/>
      <c r="O36" s="212"/>
      <c r="P36" s="188"/>
      <c r="Q36" s="212">
        <f t="shared" si="2"/>
        <v>11023507.663977901</v>
      </c>
      <c r="R36" s="188"/>
      <c r="S36" s="215">
        <f t="shared" si="3"/>
        <v>4.4089999999999997E-2</v>
      </c>
    </row>
    <row r="37" spans="1:22" ht="17.25" customHeight="1" x14ac:dyDescent="0.2">
      <c r="A37" s="195" t="s">
        <v>169</v>
      </c>
      <c r="B37" s="202">
        <v>53236</v>
      </c>
      <c r="C37" s="193"/>
      <c r="D37" s="216">
        <v>4.3749999999999997E-2</v>
      </c>
      <c r="E37" s="193"/>
      <c r="F37" s="212">
        <v>-199357.07142857142</v>
      </c>
      <c r="G37" s="213"/>
      <c r="H37" s="212"/>
      <c r="I37" s="193"/>
      <c r="J37" s="212">
        <v>6922.472099447521</v>
      </c>
      <c r="K37" s="206" t="s">
        <v>168</v>
      </c>
      <c r="L37" s="205"/>
      <c r="M37" s="212"/>
      <c r="N37" s="224"/>
      <c r="O37" s="212"/>
      <c r="P37" s="188"/>
      <c r="Q37" s="212">
        <f t="shared" si="2"/>
        <v>6922.472099447521</v>
      </c>
      <c r="R37" s="188"/>
      <c r="S37" s="215">
        <f t="shared" si="3"/>
        <v>-3.4720000000000001E-2</v>
      </c>
    </row>
    <row r="38" spans="1:22" ht="17.25" customHeight="1" x14ac:dyDescent="0.2">
      <c r="A38" s="195" t="s">
        <v>174</v>
      </c>
      <c r="B38" s="202">
        <v>53236</v>
      </c>
      <c r="C38" s="193"/>
      <c r="D38" s="203"/>
      <c r="E38" s="193"/>
      <c r="F38" s="212"/>
      <c r="G38" s="213"/>
      <c r="H38" s="212">
        <v>987875.71403314907</v>
      </c>
      <c r="I38" s="193"/>
      <c r="J38" s="212"/>
      <c r="K38" s="206"/>
      <c r="L38" s="205"/>
      <c r="M38" s="212"/>
      <c r="N38" s="224"/>
      <c r="O38" s="212"/>
      <c r="P38" s="188"/>
      <c r="Q38" s="212">
        <f t="shared" si="2"/>
        <v>987875.71403314907</v>
      </c>
      <c r="R38" s="188"/>
      <c r="S38" s="215">
        <f>ROUND((Q38/29611403),5)</f>
        <v>3.3360000000000001E-2</v>
      </c>
    </row>
    <row r="39" spans="1:22" ht="17.25" customHeight="1" x14ac:dyDescent="0.2">
      <c r="A39" s="195"/>
      <c r="B39" s="202"/>
      <c r="C39" s="193"/>
      <c r="D39" s="216"/>
      <c r="E39" s="193"/>
      <c r="F39" s="212"/>
      <c r="G39" s="193"/>
      <c r="H39" s="212"/>
      <c r="I39" s="193"/>
      <c r="J39" s="212"/>
      <c r="K39" s="206"/>
      <c r="L39" s="205"/>
      <c r="M39" s="212"/>
      <c r="N39" s="224"/>
      <c r="O39" s="212"/>
      <c r="P39" s="188"/>
      <c r="Q39" s="212"/>
      <c r="R39" s="188"/>
      <c r="S39" s="215"/>
    </row>
    <row r="40" spans="1:22" ht="17.25" customHeight="1" x14ac:dyDescent="0.25">
      <c r="A40" s="195" t="s">
        <v>176</v>
      </c>
      <c r="B40" s="202">
        <v>44196</v>
      </c>
      <c r="C40" s="193"/>
      <c r="D40" s="227"/>
      <c r="E40" s="193"/>
      <c r="F40" s="212"/>
      <c r="G40" s="193"/>
      <c r="H40" s="212"/>
      <c r="I40" s="193"/>
      <c r="J40" s="228">
        <v>484809.52441988955</v>
      </c>
      <c r="K40" s="213"/>
      <c r="L40" s="229">
        <v>1</v>
      </c>
      <c r="M40" s="212">
        <v>37978.965690607729</v>
      </c>
      <c r="N40" s="213"/>
      <c r="O40" s="212">
        <v>406304.48127685703</v>
      </c>
      <c r="P40" s="188" t="s">
        <v>177</v>
      </c>
      <c r="Q40" s="212">
        <f>H40+J40+M40+O40</f>
        <v>929092.97138735431</v>
      </c>
      <c r="R40" s="188"/>
      <c r="S40" s="215">
        <f t="shared" ref="S40:S41" si="4">ROUND((Q40/29611403),5)</f>
        <v>3.1379999999999998E-2</v>
      </c>
    </row>
    <row r="41" spans="1:22" ht="17.25" customHeight="1" x14ac:dyDescent="0.2">
      <c r="A41" s="230" t="s">
        <v>178</v>
      </c>
      <c r="B41" s="231">
        <v>43009</v>
      </c>
      <c r="C41" s="193"/>
      <c r="D41" s="227"/>
      <c r="E41" s="193"/>
      <c r="F41" s="212"/>
      <c r="G41" s="193"/>
      <c r="H41" s="212"/>
      <c r="I41" s="193"/>
      <c r="J41" s="228">
        <v>221614.04060773479</v>
      </c>
      <c r="K41" s="213"/>
      <c r="L41" s="186"/>
      <c r="M41" s="212">
        <v>104124.97381215473</v>
      </c>
      <c r="N41" s="193"/>
      <c r="O41" s="212"/>
      <c r="P41" s="188"/>
      <c r="Q41" s="212">
        <f>H41+J41+M41+O41</f>
        <v>325739.01441988954</v>
      </c>
      <c r="R41" s="188"/>
      <c r="S41" s="215">
        <f t="shared" si="4"/>
        <v>1.0999999999999999E-2</v>
      </c>
    </row>
    <row r="42" spans="1:22" ht="17.25" customHeight="1" thickBot="1" x14ac:dyDescent="0.25">
      <c r="A42" s="195"/>
      <c r="B42" s="202"/>
      <c r="C42" s="193"/>
      <c r="D42" s="216"/>
      <c r="E42" s="193"/>
      <c r="F42" s="212"/>
      <c r="G42" s="193"/>
      <c r="H42" s="212"/>
      <c r="I42" s="193"/>
      <c r="J42" s="212"/>
      <c r="K42" s="206"/>
      <c r="L42" s="205"/>
      <c r="M42" s="212"/>
      <c r="N42" s="224"/>
      <c r="O42" s="212"/>
      <c r="P42" s="188"/>
      <c r="Q42" s="212"/>
      <c r="R42" s="188"/>
      <c r="S42" s="215"/>
    </row>
    <row r="43" spans="1:22" ht="16.5" thickBot="1" x14ac:dyDescent="0.3">
      <c r="A43" s="201" t="s">
        <v>179</v>
      </c>
      <c r="B43" s="217"/>
      <c r="C43" s="193"/>
      <c r="D43" s="218"/>
      <c r="E43" s="193"/>
      <c r="F43" s="219">
        <f>SUM(F26:F42)</f>
        <v>1990849074.9899998</v>
      </c>
      <c r="G43" s="220"/>
      <c r="H43" s="219">
        <f>SUM(H26:H42)</f>
        <v>86459839.234905884</v>
      </c>
      <c r="I43" s="220"/>
      <c r="J43" s="219">
        <f>SUM(J26:J42)</f>
        <v>2297237.3325966857</v>
      </c>
      <c r="K43" s="220"/>
      <c r="L43" s="210"/>
      <c r="M43" s="219">
        <f>SUM(M26:M42)</f>
        <v>142103.93950276246</v>
      </c>
      <c r="N43" s="221"/>
      <c r="O43" s="219">
        <f>SUM(O26:O42)</f>
        <v>406304.48127685703</v>
      </c>
      <c r="P43" s="210"/>
      <c r="Q43" s="219">
        <f>SUM(Q26:Q42)</f>
        <v>89305484.988282189</v>
      </c>
      <c r="R43" s="188"/>
      <c r="S43" s="222">
        <f>ROUND(+Q43/F43,5)</f>
        <v>4.4859999999999997E-2</v>
      </c>
      <c r="V43" s="223"/>
    </row>
    <row r="44" spans="1:22" x14ac:dyDescent="0.2">
      <c r="A44" s="195"/>
      <c r="B44" s="217"/>
      <c r="C44" s="193"/>
      <c r="D44" s="218"/>
      <c r="E44" s="193"/>
      <c r="F44" s="205"/>
      <c r="G44" s="206"/>
      <c r="H44" s="205"/>
      <c r="I44" s="193"/>
      <c r="J44" s="205"/>
      <c r="K44" s="206"/>
      <c r="L44" s="205"/>
      <c r="M44" s="204"/>
      <c r="N44" s="207"/>
      <c r="O44" s="204"/>
      <c r="P44" s="188"/>
      <c r="Q44" s="204"/>
      <c r="R44" s="188"/>
      <c r="S44" s="215"/>
      <c r="T44" s="232"/>
      <c r="U44" s="233"/>
    </row>
    <row r="45" spans="1:22" ht="15.75" x14ac:dyDescent="0.25">
      <c r="A45" s="195" t="s">
        <v>180</v>
      </c>
      <c r="B45" s="202"/>
      <c r="C45" s="229"/>
      <c r="D45" s="216"/>
      <c r="E45" s="193"/>
      <c r="F45" s="210">
        <v>0</v>
      </c>
      <c r="G45" s="220"/>
      <c r="H45" s="210">
        <v>0</v>
      </c>
      <c r="I45" s="220"/>
      <c r="J45" s="210">
        <v>0</v>
      </c>
      <c r="K45" s="220"/>
      <c r="L45" s="210"/>
      <c r="M45" s="210">
        <v>0</v>
      </c>
      <c r="N45" s="220"/>
      <c r="O45" s="210">
        <v>0</v>
      </c>
      <c r="P45" s="210"/>
      <c r="Q45" s="210">
        <f>SUM(H45,J45,O45)</f>
        <v>0</v>
      </c>
      <c r="R45" s="188"/>
      <c r="S45" s="215"/>
    </row>
    <row r="46" spans="1:22" ht="15.75" thickBot="1" x14ac:dyDescent="0.25">
      <c r="A46" s="195"/>
      <c r="B46" s="202"/>
      <c r="C46" s="193"/>
      <c r="D46" s="216"/>
      <c r="E46" s="193"/>
      <c r="F46" s="212"/>
      <c r="G46" s="193"/>
      <c r="H46" s="204"/>
      <c r="I46" s="193"/>
      <c r="J46" s="212">
        <v>0</v>
      </c>
      <c r="K46" s="234"/>
      <c r="L46" s="235"/>
      <c r="M46" s="212">
        <v>0</v>
      </c>
      <c r="N46" s="224"/>
      <c r="O46" s="212">
        <v>0</v>
      </c>
      <c r="P46" s="188"/>
      <c r="Q46" s="212">
        <f>SUM(H46,J46,O46)</f>
        <v>0</v>
      </c>
      <c r="R46" s="188"/>
      <c r="S46" s="215"/>
    </row>
    <row r="47" spans="1:22" ht="16.5" thickBot="1" x14ac:dyDescent="0.3">
      <c r="A47" s="201" t="s">
        <v>181</v>
      </c>
      <c r="B47" s="202"/>
      <c r="C47" s="193"/>
      <c r="D47" s="203"/>
      <c r="E47" s="193"/>
      <c r="F47" s="219">
        <f>SUM(F45:F46)</f>
        <v>0</v>
      </c>
      <c r="G47" s="220"/>
      <c r="H47" s="219">
        <f>SUM(H45:H46)</f>
        <v>0</v>
      </c>
      <c r="I47" s="220"/>
      <c r="J47" s="219">
        <f>SUM(J46:J46)</f>
        <v>0</v>
      </c>
      <c r="K47" s="220"/>
      <c r="L47" s="210"/>
      <c r="M47" s="219">
        <f>SUM(M46:M46)</f>
        <v>0</v>
      </c>
      <c r="N47" s="221"/>
      <c r="O47" s="219">
        <f>SUM(O46:O46)</f>
        <v>0</v>
      </c>
      <c r="P47" s="210"/>
      <c r="Q47" s="219">
        <f>SUM(Q45:Q46)</f>
        <v>0</v>
      </c>
      <c r="R47" s="188"/>
      <c r="S47" s="222">
        <f>ROUND(+Q47/F49,5)</f>
        <v>0</v>
      </c>
    </row>
    <row r="48" spans="1:22" ht="15.75" thickBot="1" x14ac:dyDescent="0.25">
      <c r="A48" s="195"/>
      <c r="B48" s="186"/>
      <c r="C48" s="193"/>
      <c r="D48" s="218"/>
      <c r="E48" s="193"/>
      <c r="F48" s="204"/>
      <c r="G48" s="193"/>
      <c r="H48" s="204"/>
      <c r="I48" s="193"/>
      <c r="J48" s="205"/>
      <c r="K48" s="206"/>
      <c r="L48" s="205"/>
      <c r="M48" s="204"/>
      <c r="N48" s="207"/>
      <c r="O48" s="204"/>
      <c r="P48" s="204"/>
      <c r="Q48" s="204"/>
      <c r="R48" s="188"/>
      <c r="S48" s="215"/>
    </row>
    <row r="49" spans="1:21" ht="16.5" thickBot="1" x14ac:dyDescent="0.3">
      <c r="A49" s="195"/>
      <c r="B49" s="186"/>
      <c r="C49" s="193"/>
      <c r="D49" s="218" t="s">
        <v>147</v>
      </c>
      <c r="E49" s="193"/>
      <c r="F49" s="236">
        <f>F24+F43+F47</f>
        <v>2341628479.9899998</v>
      </c>
      <c r="G49" s="210"/>
      <c r="H49" s="236">
        <f>H24+H43+H47</f>
        <v>90777548.234905884</v>
      </c>
      <c r="I49" s="220"/>
      <c r="J49" s="236">
        <f>J24+J43+J47</f>
        <v>2615689.4951933711</v>
      </c>
      <c r="K49" s="220"/>
      <c r="L49" s="210"/>
      <c r="M49" s="236">
        <f>M24+M43+M47</f>
        <v>643937.38580110669</v>
      </c>
      <c r="N49" s="237"/>
      <c r="O49" s="236">
        <f>O24+O43+O47</f>
        <v>1959540.8059361109</v>
      </c>
      <c r="P49" s="210"/>
      <c r="Q49" s="236">
        <f>Q24+Q43+Q47</f>
        <v>95996715.921836466</v>
      </c>
      <c r="R49" s="188"/>
      <c r="S49" s="222">
        <f>IFERROR(ROUND(Q49/F49,5),0)</f>
        <v>4.1000000000000002E-2</v>
      </c>
      <c r="U49" s="238"/>
    </row>
    <row r="50" spans="1:21" ht="15.75" thickTop="1" x14ac:dyDescent="0.2">
      <c r="A50" s="239"/>
      <c r="B50" s="197"/>
      <c r="C50" s="240"/>
      <c r="D50" s="241"/>
      <c r="E50" s="240"/>
      <c r="F50" s="242"/>
      <c r="G50" s="243"/>
      <c r="H50" s="242"/>
      <c r="I50" s="240"/>
      <c r="J50" s="242"/>
      <c r="K50" s="244"/>
      <c r="L50" s="204"/>
      <c r="M50" s="186"/>
      <c r="N50" s="193"/>
      <c r="O50" s="242"/>
      <c r="P50" s="242"/>
      <c r="Q50" s="242"/>
      <c r="R50" s="243"/>
      <c r="S50" s="245"/>
    </row>
    <row r="51" spans="1:21" x14ac:dyDescent="0.2">
      <c r="D51" s="248"/>
      <c r="F51" s="249"/>
      <c r="H51" s="249"/>
      <c r="I51" s="250"/>
      <c r="J51" s="249"/>
      <c r="K51" s="187"/>
      <c r="L51" s="251"/>
      <c r="M51" s="252"/>
      <c r="N51" s="253"/>
      <c r="O51" s="249"/>
      <c r="P51" s="249"/>
      <c r="Q51" s="249"/>
    </row>
    <row r="52" spans="1:21" x14ac:dyDescent="0.2">
      <c r="D52" s="248"/>
      <c r="F52" s="249"/>
      <c r="H52" s="249"/>
      <c r="I52" s="250"/>
      <c r="J52" s="249"/>
      <c r="K52" s="187"/>
      <c r="L52" s="255"/>
      <c r="M52" s="249"/>
      <c r="N52" s="256"/>
      <c r="O52" s="249"/>
      <c r="P52" s="249"/>
      <c r="Q52" s="249"/>
    </row>
    <row r="53" spans="1:21" x14ac:dyDescent="0.2">
      <c r="A53" s="238"/>
      <c r="D53" s="248"/>
      <c r="F53" s="249"/>
      <c r="H53" s="249"/>
      <c r="I53" s="250"/>
      <c r="J53" s="249"/>
      <c r="K53" s="256"/>
      <c r="L53" s="249"/>
      <c r="M53" s="249"/>
      <c r="N53" s="256"/>
      <c r="O53" s="249"/>
      <c r="P53" s="249"/>
      <c r="Q53" s="249"/>
    </row>
    <row r="54" spans="1:21" x14ac:dyDescent="0.2">
      <c r="D54" s="248"/>
      <c r="F54" s="249"/>
      <c r="H54" s="249"/>
      <c r="J54" s="249"/>
      <c r="K54" s="256"/>
      <c r="L54" s="249"/>
      <c r="M54" s="249"/>
      <c r="N54" s="256"/>
      <c r="O54" s="249"/>
      <c r="P54" s="249"/>
      <c r="Q54" s="249"/>
    </row>
    <row r="55" spans="1:21" s="257" customFormat="1" ht="20.25" x14ac:dyDescent="0.3">
      <c r="A55" s="317" t="s">
        <v>182</v>
      </c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9"/>
    </row>
    <row r="56" spans="1:21" x14ac:dyDescent="0.2">
      <c r="A56" s="195"/>
      <c r="B56" s="186"/>
      <c r="C56" s="187"/>
      <c r="D56" s="188"/>
      <c r="E56" s="187"/>
      <c r="F56" s="188"/>
      <c r="G56" s="189"/>
      <c r="H56" s="188"/>
      <c r="I56" s="187"/>
      <c r="J56" s="188"/>
      <c r="K56" s="187"/>
      <c r="L56" s="188"/>
      <c r="M56" s="188"/>
      <c r="N56" s="187"/>
      <c r="O56" s="188"/>
      <c r="P56" s="188"/>
      <c r="Q56" s="188"/>
      <c r="R56" s="188"/>
      <c r="S56" s="190"/>
    </row>
    <row r="57" spans="1:21" x14ac:dyDescent="0.2">
      <c r="A57" s="195"/>
      <c r="B57" s="186"/>
      <c r="C57" s="193"/>
      <c r="D57" s="188"/>
      <c r="E57" s="193"/>
      <c r="F57" s="188"/>
      <c r="G57" s="188"/>
      <c r="H57" s="320" t="s">
        <v>136</v>
      </c>
      <c r="I57" s="320"/>
      <c r="J57" s="320"/>
      <c r="K57" s="320"/>
      <c r="L57" s="320"/>
      <c r="M57" s="320"/>
      <c r="N57" s="320"/>
      <c r="O57" s="320"/>
      <c r="P57" s="320"/>
      <c r="Q57" s="320"/>
      <c r="R57" s="188"/>
      <c r="S57" s="190"/>
    </row>
    <row r="58" spans="1:21" x14ac:dyDescent="0.2">
      <c r="A58" s="195"/>
      <c r="B58" s="186"/>
      <c r="C58" s="193"/>
      <c r="D58" s="188"/>
      <c r="E58" s="193"/>
      <c r="F58" s="188"/>
      <c r="G58" s="188"/>
      <c r="H58" s="188"/>
      <c r="I58" s="193"/>
      <c r="J58" s="188"/>
      <c r="K58" s="193"/>
      <c r="L58" s="188"/>
      <c r="M58" s="188"/>
      <c r="N58" s="193"/>
      <c r="O58" s="188"/>
      <c r="P58" s="188"/>
      <c r="Q58" s="188"/>
      <c r="R58" s="188"/>
      <c r="S58" s="194" t="s">
        <v>140</v>
      </c>
    </row>
    <row r="59" spans="1:21" x14ac:dyDescent="0.2">
      <c r="A59" s="195"/>
      <c r="B59" s="186" t="s">
        <v>183</v>
      </c>
      <c r="C59" s="193"/>
      <c r="D59" s="196" t="s">
        <v>184</v>
      </c>
      <c r="E59" s="193"/>
      <c r="F59" s="196" t="s">
        <v>185</v>
      </c>
      <c r="G59" s="188"/>
      <c r="H59" s="196" t="s">
        <v>186</v>
      </c>
      <c r="I59" s="193"/>
      <c r="J59" s="196" t="s">
        <v>187</v>
      </c>
      <c r="K59" s="193"/>
      <c r="L59" s="186"/>
      <c r="M59" s="196" t="s">
        <v>188</v>
      </c>
      <c r="N59" s="258"/>
      <c r="O59" s="196" t="s">
        <v>189</v>
      </c>
      <c r="P59" s="186"/>
      <c r="Q59" s="196" t="s">
        <v>190</v>
      </c>
      <c r="R59" s="188"/>
      <c r="S59" s="259" t="s">
        <v>191</v>
      </c>
    </row>
    <row r="60" spans="1:21" x14ac:dyDescent="0.2">
      <c r="A60" s="195"/>
      <c r="B60" s="186"/>
      <c r="C60" s="193"/>
      <c r="D60" s="188"/>
      <c r="E60" s="193"/>
      <c r="F60" s="188"/>
      <c r="G60" s="188"/>
      <c r="H60" s="188"/>
      <c r="I60" s="193"/>
      <c r="J60" s="188"/>
      <c r="K60" s="193"/>
      <c r="L60" s="188"/>
      <c r="M60" s="188"/>
      <c r="N60" s="193"/>
      <c r="O60" s="188"/>
      <c r="P60" s="188"/>
      <c r="Q60" s="188"/>
      <c r="R60" s="188"/>
      <c r="S60" s="190"/>
    </row>
    <row r="61" spans="1:21" x14ac:dyDescent="0.2">
      <c r="A61" s="195" t="s">
        <v>192</v>
      </c>
      <c r="B61" s="186" t="s">
        <v>193</v>
      </c>
      <c r="C61" s="193"/>
      <c r="D61" s="203">
        <v>0</v>
      </c>
      <c r="E61" s="209" t="s">
        <v>151</v>
      </c>
      <c r="F61" s="260">
        <v>0</v>
      </c>
      <c r="G61" s="210"/>
      <c r="H61" s="210">
        <f>ROUND(D61*F61,0)</f>
        <v>0</v>
      </c>
      <c r="I61" s="220"/>
      <c r="J61" s="261">
        <v>0</v>
      </c>
      <c r="K61" s="220"/>
      <c r="L61" s="261"/>
      <c r="M61" s="261">
        <v>0</v>
      </c>
      <c r="N61" s="220"/>
      <c r="O61" s="261">
        <v>0</v>
      </c>
      <c r="P61" s="210"/>
      <c r="Q61" s="210">
        <f>SUM(H61:O61)</f>
        <v>0</v>
      </c>
      <c r="R61" s="188"/>
      <c r="S61" s="215">
        <f>IF(F61=0,0,(ROUND((Q61/F61),5)))</f>
        <v>0</v>
      </c>
    </row>
    <row r="62" spans="1:21" x14ac:dyDescent="0.2">
      <c r="A62" s="195" t="s">
        <v>194</v>
      </c>
      <c r="B62" s="186"/>
      <c r="C62" s="193"/>
      <c r="D62" s="203"/>
      <c r="E62" s="193"/>
      <c r="F62" s="212">
        <v>0</v>
      </c>
      <c r="G62" s="210"/>
      <c r="H62" s="212">
        <f>ROUND(D62*F62,0)</f>
        <v>0</v>
      </c>
      <c r="I62" s="220"/>
      <c r="J62" s="228">
        <v>0</v>
      </c>
      <c r="K62" s="220"/>
      <c r="L62" s="261"/>
      <c r="M62" s="228">
        <v>0</v>
      </c>
      <c r="N62" s="224"/>
      <c r="O62" s="228">
        <v>0</v>
      </c>
      <c r="P62" s="210"/>
      <c r="Q62" s="212">
        <f>SUM(H62:O62)</f>
        <v>0</v>
      </c>
      <c r="R62" s="188"/>
      <c r="S62" s="215">
        <f>IF(F62=0,0,(ROUND((Q62/F62),5)))</f>
        <v>0</v>
      </c>
    </row>
    <row r="63" spans="1:21" x14ac:dyDescent="0.2">
      <c r="A63" s="195" t="s">
        <v>195</v>
      </c>
      <c r="B63" s="186" t="s">
        <v>196</v>
      </c>
      <c r="C63" s="193"/>
      <c r="D63" s="203">
        <v>8.9300000000000004E-3</v>
      </c>
      <c r="E63" s="193"/>
      <c r="F63" s="262">
        <v>9653651.3300000001</v>
      </c>
      <c r="G63" s="188"/>
      <c r="H63" s="263">
        <f>F63*D63</f>
        <v>86207.106376900003</v>
      </c>
      <c r="I63" s="193"/>
      <c r="J63" s="264">
        <v>0</v>
      </c>
      <c r="K63" s="193"/>
      <c r="L63" s="188"/>
      <c r="M63" s="264">
        <v>0</v>
      </c>
      <c r="N63" s="265"/>
      <c r="O63" s="264">
        <v>0</v>
      </c>
      <c r="P63" s="188"/>
      <c r="Q63" s="263">
        <f>SUM(H63:O63)</f>
        <v>86207.106376900003</v>
      </c>
      <c r="R63" s="188"/>
      <c r="S63" s="266">
        <f>IF(F63=0,0,(ROUND((Q63/F63),5)))</f>
        <v>8.9300000000000004E-3</v>
      </c>
    </row>
    <row r="64" spans="1:21" ht="15.75" thickBot="1" x14ac:dyDescent="0.25">
      <c r="A64" s="195"/>
      <c r="B64" s="186"/>
      <c r="C64" s="193"/>
      <c r="D64" s="188"/>
      <c r="E64" s="193"/>
      <c r="F64" s="205"/>
      <c r="G64" s="188"/>
      <c r="H64" s="205"/>
      <c r="I64" s="193"/>
      <c r="J64" s="188"/>
      <c r="K64" s="193"/>
      <c r="L64" s="188"/>
      <c r="M64" s="205"/>
      <c r="N64" s="206"/>
      <c r="O64" s="205"/>
      <c r="P64" s="188"/>
      <c r="Q64" s="205"/>
      <c r="R64" s="188"/>
      <c r="S64" s="215"/>
    </row>
    <row r="65" spans="1:20" ht="16.5" thickBot="1" x14ac:dyDescent="0.3">
      <c r="A65" s="195"/>
      <c r="B65" s="186"/>
      <c r="C65" s="193"/>
      <c r="D65" s="188" t="s">
        <v>147</v>
      </c>
      <c r="E65" s="193"/>
      <c r="F65" s="267">
        <f>SUM(F61:F64)</f>
        <v>9653651.3300000001</v>
      </c>
      <c r="G65" s="210"/>
      <c r="H65" s="236">
        <f>SUM(H61:H64)</f>
        <v>86207.106376900003</v>
      </c>
      <c r="I65" s="220"/>
      <c r="J65" s="268">
        <f>SUM(J63:J64)</f>
        <v>0</v>
      </c>
      <c r="K65" s="220"/>
      <c r="L65" s="261"/>
      <c r="M65" s="268">
        <f>SUM(M63:M64)</f>
        <v>0</v>
      </c>
      <c r="N65" s="237"/>
      <c r="O65" s="268">
        <f>SUM(O63:O64)</f>
        <v>0</v>
      </c>
      <c r="P65" s="210"/>
      <c r="Q65" s="236">
        <f>SUM(Q61:Q64)</f>
        <v>86207.106376900003</v>
      </c>
      <c r="R65" s="188"/>
      <c r="S65" s="269">
        <f>IFERROR(ROUND(Q65/F65,5),0)</f>
        <v>8.9300000000000004E-3</v>
      </c>
    </row>
    <row r="66" spans="1:20" ht="15.75" thickTop="1" x14ac:dyDescent="0.2">
      <c r="A66" s="239"/>
      <c r="B66" s="197"/>
      <c r="C66" s="240"/>
      <c r="D66" s="243"/>
      <c r="E66" s="240"/>
      <c r="F66" s="243"/>
      <c r="G66" s="243"/>
      <c r="H66" s="270"/>
      <c r="I66" s="240"/>
      <c r="J66" s="243"/>
      <c r="K66" s="240"/>
      <c r="L66" s="243"/>
      <c r="M66" s="270"/>
      <c r="N66" s="271"/>
      <c r="O66" s="270"/>
      <c r="P66" s="243"/>
      <c r="Q66" s="243"/>
      <c r="R66" s="243"/>
      <c r="S66" s="266"/>
    </row>
    <row r="67" spans="1:20" ht="15.75" thickBot="1" x14ac:dyDescent="0.25">
      <c r="C67" s="225"/>
      <c r="D67" s="248"/>
      <c r="E67" s="225"/>
      <c r="F67" s="249"/>
      <c r="G67" s="191"/>
      <c r="H67" s="249"/>
      <c r="I67" s="225"/>
      <c r="K67" s="225"/>
      <c r="N67" s="225"/>
      <c r="Q67" s="249"/>
      <c r="S67" s="272"/>
    </row>
    <row r="68" spans="1:20" ht="16.5" thickBot="1" x14ac:dyDescent="0.3">
      <c r="A68" s="191" t="s">
        <v>197</v>
      </c>
      <c r="C68" s="225"/>
      <c r="D68" s="248"/>
      <c r="E68" s="225"/>
      <c r="F68" s="273">
        <f>F49+F65</f>
        <v>2351282131.3199997</v>
      </c>
      <c r="G68" s="274"/>
      <c r="H68" s="273">
        <f>H49+H65</f>
        <v>90863755.341282785</v>
      </c>
      <c r="I68" s="275"/>
      <c r="J68" s="273">
        <f>J49+J65</f>
        <v>2615689.4951933711</v>
      </c>
      <c r="K68" s="275"/>
      <c r="L68" s="274"/>
      <c r="M68" s="273">
        <f>M49+M65</f>
        <v>643937.38580110669</v>
      </c>
      <c r="N68" s="276"/>
      <c r="O68" s="273">
        <f>O49+O65</f>
        <v>1959540.8059361109</v>
      </c>
      <c r="P68" s="274"/>
      <c r="Q68" s="273">
        <f>Q49+Q65</f>
        <v>96082923.028213367</v>
      </c>
      <c r="S68" s="269">
        <f>IFERROR(ROUND(Q68/F68,5),0)</f>
        <v>4.086E-2</v>
      </c>
    </row>
    <row r="69" spans="1:20" ht="16.5" thickTop="1" x14ac:dyDescent="0.25">
      <c r="C69" s="225"/>
      <c r="D69" s="248"/>
      <c r="E69" s="225"/>
      <c r="F69" s="249"/>
      <c r="G69" s="191"/>
      <c r="H69" s="249"/>
      <c r="I69" s="225"/>
      <c r="K69" s="225"/>
      <c r="N69" s="225"/>
      <c r="Q69" s="249"/>
      <c r="S69" s="277"/>
    </row>
    <row r="70" spans="1:20" x14ac:dyDescent="0.2">
      <c r="A70" s="191" t="s">
        <v>198</v>
      </c>
      <c r="C70" s="225"/>
      <c r="D70" s="248"/>
      <c r="E70" s="225"/>
      <c r="F70" s="249"/>
      <c r="G70" s="191"/>
      <c r="H70" s="249"/>
      <c r="I70" s="225"/>
      <c r="K70" s="225"/>
      <c r="N70" s="225"/>
      <c r="Q70" s="278"/>
      <c r="S70" s="272"/>
    </row>
    <row r="71" spans="1:20" x14ac:dyDescent="0.2">
      <c r="A71" s="191" t="s">
        <v>199</v>
      </c>
      <c r="C71" s="225"/>
      <c r="E71" s="225"/>
      <c r="G71" s="191"/>
      <c r="I71" s="225"/>
      <c r="K71" s="225"/>
      <c r="N71" s="225"/>
      <c r="S71" s="272"/>
    </row>
    <row r="72" spans="1:20" x14ac:dyDescent="0.2">
      <c r="C72" s="225"/>
      <c r="E72" s="225"/>
      <c r="G72" s="191"/>
      <c r="I72" s="225"/>
      <c r="K72" s="225"/>
      <c r="N72" s="225"/>
    </row>
    <row r="73" spans="1:20" ht="15" customHeight="1" x14ac:dyDescent="0.2">
      <c r="A73" s="321" t="s">
        <v>200</v>
      </c>
      <c r="B73" s="321"/>
      <c r="C73" s="321"/>
      <c r="D73" s="321"/>
      <c r="E73" s="321"/>
      <c r="F73" s="321"/>
      <c r="G73" s="321"/>
      <c r="H73" s="321"/>
      <c r="I73" s="225"/>
      <c r="K73" s="225"/>
      <c r="M73" s="249"/>
      <c r="N73" s="279"/>
      <c r="O73" s="249"/>
      <c r="P73" s="249"/>
    </row>
    <row r="74" spans="1:20" x14ac:dyDescent="0.2">
      <c r="B74" s="191"/>
      <c r="C74" s="225"/>
      <c r="E74" s="225"/>
      <c r="G74" s="280"/>
      <c r="I74" s="225"/>
      <c r="J74" s="246"/>
      <c r="K74" s="225"/>
      <c r="N74" s="225"/>
      <c r="Q74" s="249"/>
      <c r="T74" s="281"/>
    </row>
    <row r="75" spans="1:20" x14ac:dyDescent="0.2">
      <c r="A75" s="191" t="s">
        <v>201</v>
      </c>
      <c r="C75" s="225"/>
      <c r="E75" s="225"/>
      <c r="G75" s="191"/>
      <c r="I75" s="225"/>
      <c r="K75" s="225"/>
      <c r="N75" s="225"/>
    </row>
    <row r="76" spans="1:20" x14ac:dyDescent="0.2">
      <c r="A76" s="191" t="s">
        <v>202</v>
      </c>
      <c r="C76" s="225"/>
      <c r="E76" s="225"/>
      <c r="G76" s="191"/>
      <c r="I76" s="225"/>
      <c r="K76" s="225"/>
      <c r="N76" s="225"/>
    </row>
    <row r="77" spans="1:20" x14ac:dyDescent="0.2">
      <c r="A77" s="191" t="s">
        <v>203</v>
      </c>
      <c r="C77" s="225"/>
      <c r="E77" s="225"/>
      <c r="G77" s="191"/>
      <c r="I77" s="225"/>
      <c r="K77" s="225"/>
      <c r="N77" s="225"/>
    </row>
  </sheetData>
  <mergeCells count="9">
    <mergeCell ref="A55:S55"/>
    <mergeCell ref="H57:Q57"/>
    <mergeCell ref="A73:H73"/>
    <mergeCell ref="A1:S1"/>
    <mergeCell ref="A2:S2"/>
    <mergeCell ref="A3:S3"/>
    <mergeCell ref="A4:S4"/>
    <mergeCell ref="A5:S5"/>
    <mergeCell ref="H7:Q7"/>
  </mergeCells>
  <printOptions horizontalCentered="1"/>
  <pageMargins left="0.5" right="0" top="0.75" bottom="0.75" header="0.5" footer="0.25"/>
  <pageSetup scale="43" orientation="portrait" r:id="rId1"/>
  <headerFooter scaleWithDoc="0">
    <oddHeader>&amp;R&amp;"Times New Roman,Bold"&amp;12&amp;K000000Attachment to Response to Question No. 1
Page 5 of 5
Rahn/Metts</oddHead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Q1-Q2 KU Over-Under Calc</vt:lpstr>
      <vt:lpstr>Q2 KU Summary Over-Under</vt:lpstr>
      <vt:lpstr>Q1 - KU ROR Feb17 (Pre-2016)</vt:lpstr>
      <vt:lpstr>Q1 - KU ROR Feb17 (2016)</vt:lpstr>
      <vt:lpstr>Q1 - KU ECC Feb17</vt:lpstr>
      <vt:lpstr>'Q1 - KU ROR Feb17 (2016)'!Print_Area</vt:lpstr>
      <vt:lpstr>'Q1 - KU ROR Feb17 (Pre-2016)'!Print_Area</vt:lpstr>
      <vt:lpstr>'Q1-Q2 KU Over-Under Calc'!Print_Area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2017-08-18T18:57:16Z</dcterms:created>
  <dcterms:modified xsi:type="dcterms:W3CDTF">2017-08-21T15:07:17Z</dcterms:modified>
</cp:coreProperties>
</file>