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7 KY Rate Case\Rate Case Data Request - Working Files\"/>
    </mc:Choice>
  </mc:AlternateContent>
  <bookViews>
    <workbookView xWindow="0" yWindow="0" windowWidth="19200" windowHeight="6660"/>
  </bookViews>
  <sheets>
    <sheet name="AJE-1S" sheetId="28" r:id="rId1"/>
    <sheet name="Rockport" sheetId="16" r:id="rId2"/>
    <sheet name="Non-FGD" sheetId="1" r:id="rId3"/>
    <sheet name="Base Revenue" sheetId="27" r:id="rId4"/>
    <sheet name="Property Tax" sheetId="14" r:id="rId5"/>
    <sheet name="Allocation Factors" sheetId="2" r:id="rId6"/>
    <sheet name="3.15 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llocFactors">[1]Table!$G$6:$H$13</definedName>
    <definedName name="Begin_Print1" localSheetId="0">'[2]Big Sandy Detail'!#REF!</definedName>
    <definedName name="Begin_Print1">'[2]Big Sandy Detail'!#REF!</definedName>
    <definedName name="Begin_Print2" localSheetId="0">'[2]Big Sandy Detail'!#REF!</definedName>
    <definedName name="Begin_Print2">'[2]Big Sandy Detail'!#REF!</definedName>
    <definedName name="End_of_Report" localSheetId="0">'[2]Big Sandy Detail'!#REF!</definedName>
    <definedName name="End_of_Report">'[2]Big Sandy Detail'!#REF!</definedName>
    <definedName name="End_Print1" localSheetId="0">'[2]Big Sandy Detail'!#REF!</definedName>
    <definedName name="End_Print1">'[2]Big Sandy Detail'!#REF!</definedName>
    <definedName name="End_Print2" localSheetId="0">'[2]Big Sandy Detail'!#REF!</definedName>
    <definedName name="End_Print2">'[2]Big Sandy Detail'!#REF!</definedName>
    <definedName name="Marshall_Rate" localSheetId="0">'[4]Property Tax'!$B$2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OPR_ID">#REF!</definedName>
    <definedName name="PC_Percent" localSheetId="0">'[4]Property Tax'!$B$6</definedName>
    <definedName name="PC_Percent">'[3]Property Tax'!$B$6</definedName>
    <definedName name="_xlnm.Print_Area" localSheetId="0">'AJE-1S'!$A$1:$R$30</definedName>
    <definedName name="_xlnm.Print_Area" localSheetId="2">'Non-FGD'!$A$1:$N$44</definedName>
    <definedName name="Rev_End" localSheetId="0">[5]IS!#REF!</definedName>
    <definedName name="Rev_End">#REF!</definedName>
    <definedName name="search_directory_name">"R:\fcm90prd\nvision\rpts\Fin_Reports\"</definedName>
    <definedName name="tim" localSheetId="6">#REF!</definedName>
    <definedName name="tim" localSheetId="0">#REF!</definedName>
    <definedName name="tim">#REF!</definedName>
    <definedName name="WV_List" localSheetId="0">'[4]Property Tax'!$B$4</definedName>
    <definedName name="WV_List">'[3]Property Tax'!$B$4</definedName>
  </definedNames>
  <calcPr calcId="152511"/>
</workbook>
</file>

<file path=xl/calcChain.xml><?xml version="1.0" encoding="utf-8"?>
<calcChain xmlns="http://schemas.openxmlformats.org/spreadsheetml/2006/main">
  <c r="O25" i="28" l="1"/>
  <c r="O24" i="28"/>
  <c r="O23" i="28"/>
  <c r="O22" i="28"/>
  <c r="O21" i="28"/>
  <c r="O20" i="28"/>
  <c r="O19" i="28"/>
  <c r="O18" i="28"/>
  <c r="O17" i="28"/>
  <c r="O16" i="28"/>
  <c r="O15" i="28"/>
  <c r="O14" i="28"/>
  <c r="P36" i="1" l="1"/>
  <c r="O36" i="1"/>
  <c r="N36" i="1"/>
  <c r="M36" i="1"/>
  <c r="L36" i="1"/>
  <c r="K36" i="1"/>
  <c r="J36" i="1"/>
  <c r="I36" i="1"/>
  <c r="H36" i="1"/>
  <c r="G36" i="1"/>
  <c r="F36" i="1"/>
  <c r="E36" i="1"/>
  <c r="D11" i="28"/>
  <c r="E11" i="28"/>
  <c r="F11" i="28"/>
  <c r="G11" i="28"/>
  <c r="J11" i="28" s="1"/>
  <c r="K11" i="28" s="1"/>
  <c r="L11" i="28" s="1"/>
  <c r="M11" i="28" s="1"/>
  <c r="O11" i="28" s="1"/>
  <c r="P11" i="28" s="1"/>
  <c r="Q11" i="28" s="1"/>
  <c r="R11" i="28" s="1"/>
  <c r="G14" i="28"/>
  <c r="M14" i="28"/>
  <c r="R14" i="28"/>
  <c r="A15" i="28"/>
  <c r="G15" i="28"/>
  <c r="M15" i="28"/>
  <c r="R15" i="28"/>
  <c r="A16" i="28"/>
  <c r="G16" i="28"/>
  <c r="M16" i="28"/>
  <c r="R16" i="28"/>
  <c r="A17" i="28"/>
  <c r="G17" i="28"/>
  <c r="M17" i="28"/>
  <c r="R17" i="28"/>
  <c r="A18" i="28"/>
  <c r="G18" i="28"/>
  <c r="M18" i="28"/>
  <c r="R18" i="28"/>
  <c r="A19" i="28"/>
  <c r="G19" i="28"/>
  <c r="M19" i="28"/>
  <c r="R19" i="28"/>
  <c r="A20" i="28"/>
  <c r="G20" i="28"/>
  <c r="M20" i="28"/>
  <c r="R20" i="28"/>
  <c r="A21" i="28"/>
  <c r="G21" i="28"/>
  <c r="M21" i="28"/>
  <c r="R21" i="28"/>
  <c r="A22" i="28"/>
  <c r="G22" i="28"/>
  <c r="M22" i="28"/>
  <c r="R22" i="28"/>
  <c r="A23" i="28"/>
  <c r="G23" i="28"/>
  <c r="M23" i="28"/>
  <c r="R23" i="28"/>
  <c r="A24" i="28"/>
  <c r="G24" i="28"/>
  <c r="M24" i="28"/>
  <c r="R24" i="28"/>
  <c r="A25" i="28"/>
  <c r="G25" i="28"/>
  <c r="M25" i="28"/>
  <c r="R25" i="28"/>
  <c r="D27" i="28"/>
  <c r="E27" i="28"/>
  <c r="F27" i="28"/>
  <c r="G27" i="28"/>
  <c r="J27" i="28"/>
  <c r="K27" i="28"/>
  <c r="L27" i="28"/>
  <c r="M27" i="28"/>
  <c r="O27" i="28"/>
  <c r="P27" i="28"/>
  <c r="Q27" i="28"/>
  <c r="R27" i="28" l="1"/>
  <c r="D2" i="2" l="1"/>
  <c r="B40" i="26" l="1"/>
  <c r="B42" i="26" s="1"/>
  <c r="B38" i="26"/>
  <c r="O32" i="26"/>
  <c r="O42" i="26" s="1"/>
  <c r="S30" i="26"/>
  <c r="S28" i="26"/>
  <c r="S26" i="26"/>
  <c r="S32" i="26" s="1"/>
  <c r="F18" i="26"/>
  <c r="H16" i="26" s="1"/>
  <c r="M16" i="26" s="1"/>
  <c r="B14" i="26"/>
  <c r="B15" i="26" s="1"/>
  <c r="B16" i="26" s="1"/>
  <c r="B18" i="26" s="1"/>
  <c r="H13" i="26"/>
  <c r="O14" i="26" l="1"/>
  <c r="O13" i="26"/>
  <c r="O15" i="26"/>
  <c r="S34" i="26"/>
  <c r="S36" i="26" s="1"/>
  <c r="H18" i="26"/>
  <c r="M13" i="26"/>
  <c r="S13" i="26" s="1"/>
  <c r="H14" i="26"/>
  <c r="M14" i="26" s="1"/>
  <c r="H15" i="26"/>
  <c r="M15" i="26" s="1"/>
  <c r="S38" i="26" l="1"/>
  <c r="S40" i="26"/>
  <c r="S42" i="26" s="1"/>
  <c r="O16" i="26" s="1"/>
  <c r="S16" i="26" s="1"/>
  <c r="S15" i="26"/>
  <c r="S18" i="26" s="1"/>
  <c r="S14" i="26"/>
  <c r="P19" i="1" l="1"/>
  <c r="O19" i="1"/>
  <c r="N19" i="1"/>
  <c r="M19" i="1"/>
  <c r="L19" i="1"/>
  <c r="K19" i="1"/>
  <c r="J19" i="1"/>
  <c r="I19" i="1"/>
  <c r="H19" i="1"/>
  <c r="G19" i="1"/>
  <c r="F19" i="1"/>
  <c r="E19" i="1"/>
  <c r="P23" i="16" l="1"/>
  <c r="O23" i="16"/>
  <c r="O15" i="16"/>
  <c r="I34" i="1"/>
  <c r="O4" i="16"/>
  <c r="P4" i="16" s="1"/>
  <c r="P24" i="16"/>
  <c r="P25" i="16" s="1"/>
  <c r="P12" i="16"/>
  <c r="P11" i="16"/>
  <c r="P9" i="16"/>
  <c r="O24" i="16"/>
  <c r="O25" i="16" s="1"/>
  <c r="O12" i="16"/>
  <c r="O11" i="16"/>
  <c r="O9" i="16"/>
  <c r="O4" i="1"/>
  <c r="P4" i="1" s="1"/>
  <c r="P38" i="1"/>
  <c r="O38" i="1"/>
  <c r="P37" i="1"/>
  <c r="O37" i="1"/>
  <c r="P39" i="1"/>
  <c r="P35" i="1"/>
  <c r="O35" i="1"/>
  <c r="P9" i="1"/>
  <c r="O9" i="1"/>
  <c r="O39" i="1" l="1"/>
  <c r="O17" i="1"/>
  <c r="O20" i="1" s="1"/>
  <c r="O32" i="1" s="1"/>
  <c r="P17" i="1"/>
  <c r="P20" i="1" s="1"/>
  <c r="P32" i="1" s="1"/>
  <c r="P40" i="1" s="1"/>
  <c r="O13" i="16"/>
  <c r="P13" i="16"/>
  <c r="O40" i="1" l="1"/>
  <c r="P21" i="16"/>
  <c r="P26" i="16" s="1"/>
  <c r="P27" i="16" s="1"/>
  <c r="P41" i="1" s="1"/>
  <c r="P43" i="1" s="1"/>
  <c r="P16" i="16"/>
  <c r="O16" i="16"/>
  <c r="O21" i="16" s="1"/>
  <c r="O26" i="16" s="1"/>
  <c r="O27" i="16" s="1"/>
  <c r="O41" i="1" s="1"/>
  <c r="E11" i="16"/>
  <c r="F11" i="16"/>
  <c r="G11" i="16"/>
  <c r="H11" i="16"/>
  <c r="I11" i="16"/>
  <c r="J11" i="16"/>
  <c r="K11" i="16"/>
  <c r="L11" i="16"/>
  <c r="M11" i="16"/>
  <c r="N11" i="16"/>
  <c r="E12" i="16"/>
  <c r="F12" i="16"/>
  <c r="G12" i="16"/>
  <c r="H12" i="16"/>
  <c r="I12" i="16"/>
  <c r="J12" i="16"/>
  <c r="K12" i="16"/>
  <c r="L12" i="16"/>
  <c r="M12" i="16"/>
  <c r="N12" i="16"/>
  <c r="P44" i="1" l="1"/>
  <c r="B13" i="27"/>
  <c r="O43" i="1"/>
  <c r="O44" i="1" l="1"/>
  <c r="B12" i="27"/>
  <c r="E24" i="16" l="1"/>
  <c r="E25" i="16" s="1"/>
  <c r="F24" i="16"/>
  <c r="F25" i="16" s="1"/>
  <c r="G24" i="16"/>
  <c r="G25" i="16" s="1"/>
  <c r="H24" i="16"/>
  <c r="H25" i="16" s="1"/>
  <c r="I24" i="16"/>
  <c r="I25" i="16" s="1"/>
  <c r="J24" i="16"/>
  <c r="J25" i="16" s="1"/>
  <c r="K24" i="16"/>
  <c r="K25" i="16" s="1"/>
  <c r="L24" i="16"/>
  <c r="L25" i="16" s="1"/>
  <c r="M24" i="16"/>
  <c r="M25" i="16" s="1"/>
  <c r="N24" i="16"/>
  <c r="N25" i="16" s="1"/>
  <c r="E9" i="16"/>
  <c r="F9" i="16"/>
  <c r="G9" i="16"/>
  <c r="H9" i="16"/>
  <c r="I9" i="16"/>
  <c r="J9" i="16"/>
  <c r="K9" i="16"/>
  <c r="K13" i="16" s="1"/>
  <c r="L9" i="16"/>
  <c r="M9" i="16"/>
  <c r="N9" i="16"/>
  <c r="K16" i="16"/>
  <c r="K21" i="16" s="1"/>
  <c r="A23" i="16"/>
  <c r="A24" i="16" s="1"/>
  <c r="A25" i="16" s="1"/>
  <c r="A26" i="16" s="1"/>
  <c r="A27" i="16" s="1"/>
  <c r="A7" i="16"/>
  <c r="A8" i="16" s="1"/>
  <c r="A9" i="16" s="1"/>
  <c r="A10" i="16" s="1"/>
  <c r="A13" i="16" s="1"/>
  <c r="A14" i="16" s="1"/>
  <c r="A15" i="16" s="1"/>
  <c r="A16" i="16" s="1"/>
  <c r="A17" i="16" s="1"/>
  <c r="A18" i="16" s="1"/>
  <c r="A19" i="16" s="1"/>
  <c r="L13" i="16" l="1"/>
  <c r="L16" i="16" s="1"/>
  <c r="L21" i="16" s="1"/>
  <c r="L26" i="16" s="1"/>
  <c r="L27" i="16" s="1"/>
  <c r="L41" i="1" s="1"/>
  <c r="G13" i="16"/>
  <c r="G16" i="16" s="1"/>
  <c r="G21" i="16" s="1"/>
  <c r="G26" i="16" s="1"/>
  <c r="G27" i="16" s="1"/>
  <c r="G41" i="1" s="1"/>
  <c r="N13" i="16"/>
  <c r="N16" i="16" s="1"/>
  <c r="N21" i="16" s="1"/>
  <c r="N26" i="16" s="1"/>
  <c r="N27" i="16" s="1"/>
  <c r="N41" i="1" s="1"/>
  <c r="J13" i="16"/>
  <c r="J16" i="16" s="1"/>
  <c r="J21" i="16" s="1"/>
  <c r="J26" i="16" s="1"/>
  <c r="J27" i="16" s="1"/>
  <c r="J41" i="1" s="1"/>
  <c r="F13" i="16"/>
  <c r="F16" i="16" s="1"/>
  <c r="F21" i="16" s="1"/>
  <c r="F26" i="16" s="1"/>
  <c r="F27" i="16" s="1"/>
  <c r="F41" i="1" s="1"/>
  <c r="H13" i="16"/>
  <c r="H16" i="16" s="1"/>
  <c r="H21" i="16" s="1"/>
  <c r="H26" i="16" s="1"/>
  <c r="H27" i="16" s="1"/>
  <c r="H41" i="1" s="1"/>
  <c r="M13" i="16"/>
  <c r="M16" i="16" s="1"/>
  <c r="M21" i="16" s="1"/>
  <c r="M26" i="16" s="1"/>
  <c r="M27" i="16" s="1"/>
  <c r="M41" i="1" s="1"/>
  <c r="I13" i="16"/>
  <c r="I16" i="16" s="1"/>
  <c r="I21" i="16" s="1"/>
  <c r="I26" i="16" s="1"/>
  <c r="I27" i="16" s="1"/>
  <c r="I41" i="1" s="1"/>
  <c r="E13" i="16"/>
  <c r="E16" i="16" s="1"/>
  <c r="E21" i="16" s="1"/>
  <c r="E26" i="16" s="1"/>
  <c r="E27" i="16" s="1"/>
  <c r="E41" i="1" s="1"/>
  <c r="K26" i="16"/>
  <c r="K27" i="16" s="1"/>
  <c r="K41" i="1" s="1"/>
  <c r="H37" i="1" l="1"/>
  <c r="I37" i="1"/>
  <c r="J37" i="1"/>
  <c r="K37" i="1"/>
  <c r="L37" i="1"/>
  <c r="M37" i="1"/>
  <c r="N37" i="1"/>
  <c r="G37" i="1"/>
  <c r="E37" i="1"/>
  <c r="F37" i="1"/>
  <c r="L38" i="1" l="1"/>
  <c r="M38" i="1"/>
  <c r="N38" i="1"/>
  <c r="L9" i="1"/>
  <c r="L17" i="1" s="1"/>
  <c r="M9" i="1"/>
  <c r="M17" i="1" s="1"/>
  <c r="N9" i="1"/>
  <c r="N17" i="1" s="1"/>
  <c r="F38" i="1" l="1"/>
  <c r="F9" i="1"/>
  <c r="F17" i="1" s="1"/>
  <c r="E38" i="1"/>
  <c r="E9" i="1"/>
  <c r="E17" i="1" s="1"/>
  <c r="G38" i="1" l="1"/>
  <c r="G9" i="1"/>
  <c r="G17" i="1" s="1"/>
  <c r="H9" i="1" l="1"/>
  <c r="H17" i="1" s="1"/>
  <c r="H38" i="1"/>
  <c r="I38" i="1" l="1"/>
  <c r="I9" i="1"/>
  <c r="I17" i="1" s="1"/>
  <c r="J9" i="1" l="1"/>
  <c r="J17" i="1" s="1"/>
  <c r="J38" i="1"/>
  <c r="K9" i="1" l="1"/>
  <c r="K17" i="1" s="1"/>
  <c r="K38" i="1"/>
  <c r="E2" i="2" l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N39" i="1" l="1"/>
  <c r="M39" i="1"/>
  <c r="L39" i="1"/>
  <c r="K39" i="1"/>
  <c r="J39" i="1"/>
  <c r="I39" i="1"/>
  <c r="H39" i="1"/>
  <c r="G39" i="1"/>
  <c r="F39" i="1"/>
  <c r="E39" i="1"/>
  <c r="N35" i="1"/>
  <c r="M35" i="1"/>
  <c r="L35" i="1"/>
  <c r="K35" i="1"/>
  <c r="J35" i="1"/>
  <c r="I35" i="1"/>
  <c r="H35" i="1"/>
  <c r="G35" i="1"/>
  <c r="F35" i="1"/>
  <c r="E35" i="1"/>
  <c r="N20" i="1"/>
  <c r="N32" i="1" s="1"/>
  <c r="M20" i="1"/>
  <c r="M32" i="1" s="1"/>
  <c r="L20" i="1"/>
  <c r="L32" i="1" s="1"/>
  <c r="K20" i="1"/>
  <c r="K32" i="1" s="1"/>
  <c r="J20" i="1"/>
  <c r="J32" i="1" s="1"/>
  <c r="I20" i="1"/>
  <c r="I32" i="1" s="1"/>
  <c r="H20" i="1"/>
  <c r="H32" i="1" s="1"/>
  <c r="G20" i="1"/>
  <c r="G32" i="1" s="1"/>
  <c r="F20" i="1"/>
  <c r="F32" i="1" s="1"/>
  <c r="E20" i="1"/>
  <c r="E32" i="1" s="1"/>
  <c r="E40" i="1" l="1"/>
  <c r="E43" i="1" s="1"/>
  <c r="B2" i="27" s="1"/>
  <c r="I40" i="1"/>
  <c r="I43" i="1" s="1"/>
  <c r="M40" i="1"/>
  <c r="M43" i="1" s="1"/>
  <c r="H40" i="1"/>
  <c r="H43" i="1" s="1"/>
  <c r="L40" i="1"/>
  <c r="L43" i="1" s="1"/>
  <c r="F40" i="1"/>
  <c r="F43" i="1" s="1"/>
  <c r="J40" i="1"/>
  <c r="J43" i="1" s="1"/>
  <c r="N40" i="1"/>
  <c r="N43" i="1" s="1"/>
  <c r="G40" i="1"/>
  <c r="G43" i="1" s="1"/>
  <c r="K40" i="1"/>
  <c r="K43" i="1" s="1"/>
  <c r="K44" i="1" l="1"/>
  <c r="B8" i="27"/>
  <c r="I44" i="1"/>
  <c r="B6" i="27"/>
  <c r="G44" i="1"/>
  <c r="B4" i="27"/>
  <c r="L44" i="1"/>
  <c r="B9" i="27"/>
  <c r="N44" i="1"/>
  <c r="B11" i="27"/>
  <c r="H44" i="1"/>
  <c r="B5" i="27"/>
  <c r="J44" i="1"/>
  <c r="B7" i="27"/>
  <c r="M44" i="1"/>
  <c r="B10" i="27"/>
  <c r="F44" i="1"/>
  <c r="B3" i="27"/>
  <c r="B14" i="27" s="1"/>
  <c r="E44" i="1"/>
  <c r="Q43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<sst xmlns="http://schemas.openxmlformats.org/spreadsheetml/2006/main" count="190" uniqueCount="142">
  <si>
    <t>Ln. No.</t>
  </si>
  <si>
    <t>Cost Component</t>
  </si>
  <si>
    <t>Utility Plant at Original Cost</t>
  </si>
  <si>
    <t>Less Accumulated Depreciation</t>
  </si>
  <si>
    <t>Less Accumulated Deferred Income Tax</t>
  </si>
  <si>
    <t>Net Utility Plant</t>
  </si>
  <si>
    <t>*SO2 Emission Allowance Inventory</t>
  </si>
  <si>
    <t>*CSAPR S02 Emission Allowance Inventory</t>
  </si>
  <si>
    <t>*CSAPR NOx Emission Allowance Inventory</t>
  </si>
  <si>
    <t>*CSAPR AN Emission Allowance Inventory</t>
  </si>
  <si>
    <t>Cash Working Capital Allowance</t>
  </si>
  <si>
    <t>Total Rate Base</t>
  </si>
  <si>
    <t>Weighted Average Cost of Capital</t>
  </si>
  <si>
    <t xml:space="preserve"> </t>
  </si>
  <si>
    <t>Monthly Weighted Avg. Cost of Capital</t>
  </si>
  <si>
    <t>Monthly Return on Rate Base</t>
  </si>
  <si>
    <t>Monthly Disposal (5010000)</t>
  </si>
  <si>
    <t>Monthly Urea Expense (5020002)</t>
  </si>
  <si>
    <t>Monthly Trona Expense (5020003)</t>
  </si>
  <si>
    <t>Monthly Lime Stone Expense (5020004)</t>
  </si>
  <si>
    <t>Monthly Polymer Expense (5020005)</t>
  </si>
  <si>
    <t>Monthly Lime Hydrate Expense (5020007)</t>
  </si>
  <si>
    <t>Monthly WV Air Emission Fee</t>
  </si>
  <si>
    <t>SO2 Consumption **</t>
  </si>
  <si>
    <t>CSAPR S02 Consumption  **</t>
  </si>
  <si>
    <t>CSAPR Seasonal Nox Consumption</t>
  </si>
  <si>
    <t>CSAPR Annual Nox consumption</t>
  </si>
  <si>
    <t>Total Monthly Operation Costs</t>
  </si>
  <si>
    <t>Monthly FGD Maintenance Expense</t>
  </si>
  <si>
    <t>Monthly Non-FGD Maintenance Expense</t>
  </si>
  <si>
    <t>Total Monthly Maintenance Expense</t>
  </si>
  <si>
    <t>Monthly Depreciation Expense</t>
  </si>
  <si>
    <t>Monthly Catalyst Amortization Expense</t>
  </si>
  <si>
    <t>Monthly Property Tax</t>
  </si>
  <si>
    <t>Total Monthly Other Expenses</t>
  </si>
  <si>
    <t>Total Revenue Requirement</t>
  </si>
  <si>
    <t>Mitchell Non-FGD  Revenue Requirement</t>
  </si>
  <si>
    <t>Rockport Environmental Revenue Requirement</t>
  </si>
  <si>
    <t xml:space="preserve"> Gain or Loss on Sale of Allowances</t>
  </si>
  <si>
    <t>Kentucky Retail Revenues</t>
  </si>
  <si>
    <t>FERC Wholesale Revenues</t>
  </si>
  <si>
    <t>Associated Utilities Revenues</t>
  </si>
  <si>
    <t>Non-Assoc. Utilities Revenues</t>
  </si>
  <si>
    <t>Retail Non-FGD Allocation</t>
  </si>
  <si>
    <t>Kentucky Power Company</t>
  </si>
  <si>
    <t>Total</t>
  </si>
  <si>
    <t>1a</t>
  </si>
  <si>
    <t>Adjustment In Case No. 2016-00336</t>
  </si>
  <si>
    <t>Marshall County, WV rate, 2014</t>
  </si>
  <si>
    <t>WV Listing Percentage</t>
  </si>
  <si>
    <t>Pollution Control Value (Salvage)</t>
  </si>
  <si>
    <t>SCR Catalyst Amount, 6-1-2016--12-31-2016</t>
  </si>
  <si>
    <t>SCR Catalyst Amount 1-31-2016--5/31/2016</t>
  </si>
  <si>
    <t>8a</t>
  </si>
  <si>
    <t>Total Adjusted Non-FGD Revenue Requirement</t>
  </si>
  <si>
    <t>Monthly Brominated Sodium Bicarbonate (5020028)</t>
  </si>
  <si>
    <t>Monthly Activated Carbon (5020008)</t>
  </si>
  <si>
    <t>Monthly IN Air Emission Fee</t>
  </si>
  <si>
    <t xml:space="preserve">Property Tax </t>
  </si>
  <si>
    <t>Monthly Maintenance Expense</t>
  </si>
  <si>
    <t>KPCo Share of Environmental Revenue Requirement</t>
  </si>
  <si>
    <t>Adjustment in Case No. 2016-00336</t>
  </si>
  <si>
    <t>1540025</t>
  </si>
  <si>
    <t>Matls Supply-Activated Carbon</t>
  </si>
  <si>
    <t>1540029</t>
  </si>
  <si>
    <t>Matls Supply-Sodium Bicarbon</t>
  </si>
  <si>
    <t>5a</t>
  </si>
  <si>
    <t>5b</t>
  </si>
  <si>
    <t>Activated Carbon (1540025)</t>
  </si>
  <si>
    <t>Sodium Bicarbonate (1540029)</t>
  </si>
  <si>
    <t>Adjustment to Include Urea-In Transit-Inventory (1540023)</t>
  </si>
  <si>
    <t>Adjustment to Include Urea Inventory (1540012)</t>
  </si>
  <si>
    <t>May</t>
  </si>
  <si>
    <t>ES FORM 3.15</t>
  </si>
  <si>
    <t>KENTUCKY POWER COMPANY - ENVIRONMENTAL SURCHARGE REPORT</t>
  </si>
  <si>
    <t>CURRENT PERIOD REVENUE REQUIREMENT</t>
  </si>
  <si>
    <t xml:space="preserve">       MITCHELL PLANT COST OF CAPITAL</t>
  </si>
  <si>
    <t>LINE NO.</t>
  </si>
  <si>
    <t>Component</t>
  </si>
  <si>
    <t>Balances</t>
  </si>
  <si>
    <t>Cap.                                Structure</t>
  </si>
  <si>
    <t>Cost                                                Rates</t>
  </si>
  <si>
    <t>WACC                                              (Net of Tax)</t>
  </si>
  <si>
    <t>GRCF</t>
  </si>
  <si>
    <t>WACC       (PRE-TAX)</t>
  </si>
  <si>
    <t>As of                                           2/28/2017*</t>
  </si>
  <si>
    <t>L/T DEBT</t>
  </si>
  <si>
    <t>S/T DEBT</t>
  </si>
  <si>
    <t>ACCTS REC FINANCING</t>
  </si>
  <si>
    <t>C EQUITY</t>
  </si>
  <si>
    <t>**</t>
  </si>
  <si>
    <t>TOTAL</t>
  </si>
  <si>
    <t>Debt</t>
  </si>
  <si>
    <t>Equity</t>
  </si>
  <si>
    <t>Operating Revenues</t>
  </si>
  <si>
    <t>Less Uncollectible Accounts Expense</t>
  </si>
  <si>
    <t>KPSC Maintenance Assessment Fee</t>
  </si>
  <si>
    <t>Income Before Income Taxes</t>
  </si>
  <si>
    <t>Less State Income Taxes (Ln 4 x 5.7348)</t>
  </si>
  <si>
    <t>Income Before Federal Income Taxes</t>
  </si>
  <si>
    <t>Less Federal Income Taxes (Ln 13*35%)</t>
  </si>
  <si>
    <t>Operating  Income Percentage</t>
  </si>
  <si>
    <t>Gross Up Factor  (100.00/Ln 9)</t>
  </si>
  <si>
    <t>Rate of Return on Common Equity as authorized by the Public Service Commission in Order Dated June 22, 2015 in Case No. 2014-00396.</t>
  </si>
  <si>
    <t xml:space="preserve">  </t>
  </si>
  <si>
    <t>Month</t>
  </si>
  <si>
    <t>Base Revenue Requirement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</si>
  <si>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</si>
  <si>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</si>
  <si>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</si>
  <si>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</si>
  <si>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</si>
  <si>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</si>
  <si>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</si>
  <si>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</si>
  <si>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</si>
  <si>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</si>
  <si>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</si>
  <si>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February 2017</t>
  </si>
  <si>
    <t>January 2017</t>
  </si>
  <si>
    <t>December 2016</t>
  </si>
  <si>
    <t>November 2016</t>
  </si>
  <si>
    <t>October 2016</t>
  </si>
  <si>
    <t>September 2016</t>
  </si>
  <si>
    <t>August 2016</t>
  </si>
  <si>
    <t>July 2016</t>
  </si>
  <si>
    <t>June 2016</t>
  </si>
  <si>
    <t>May 2016</t>
  </si>
  <si>
    <t>April 2016</t>
  </si>
  <si>
    <t>March 2016</t>
  </si>
  <si>
    <r>
      <rPr>
        <b/>
        <sz val="10"/>
        <rFont val="Arial"/>
        <family val="2"/>
      </rPr>
      <t xml:space="preserve">Adjusted Environmental </t>
    </r>
    <r>
      <rPr>
        <b/>
        <u/>
        <sz val="10"/>
        <rFont val="Arial"/>
        <family val="2"/>
      </rPr>
      <t>Base</t>
    </r>
  </si>
  <si>
    <r>
      <rPr>
        <b/>
        <sz val="10"/>
        <rFont val="Arial"/>
        <family val="2"/>
      </rPr>
      <t xml:space="preserve">Gains on Sale of </t>
    </r>
    <r>
      <rPr>
        <b/>
        <u/>
        <sz val="10"/>
        <rFont val="Arial"/>
        <family val="2"/>
      </rPr>
      <t>Allowances</t>
    </r>
  </si>
  <si>
    <t>Month / Year</t>
  </si>
  <si>
    <r>
      <rPr>
        <b/>
        <sz val="10"/>
        <rFont val="Arial"/>
        <family val="2"/>
      </rPr>
      <t xml:space="preserve">Ln </t>
    </r>
    <r>
      <rPr>
        <b/>
        <u/>
        <sz val="10"/>
        <rFont val="Arial"/>
        <family val="2"/>
      </rPr>
      <t>No</t>
    </r>
  </si>
  <si>
    <r>
      <t xml:space="preserve">Kentucky Power's share of Rockport </t>
    </r>
    <r>
      <rPr>
        <b/>
        <u/>
        <sz val="10"/>
        <rFont val="Arial"/>
        <family val="2"/>
      </rPr>
      <t>Environmental Costs</t>
    </r>
  </si>
  <si>
    <r>
      <t>Mitchell Non-</t>
    </r>
    <r>
      <rPr>
        <b/>
        <u/>
        <sz val="10"/>
        <rFont val="Arial"/>
        <family val="2"/>
      </rPr>
      <t xml:space="preserve">FGD Costs        </t>
    </r>
  </si>
  <si>
    <t>As-Revised for Settlement Agreement</t>
  </si>
  <si>
    <t>As-Revised for updated WACC Base Revenue Requirement Calculation</t>
  </si>
  <si>
    <t>As-Filed Base Revenue Requirement Calculation</t>
  </si>
  <si>
    <t>To Be Included in Tariff ES</t>
  </si>
  <si>
    <t>Environmental Surcharge Base Revenue Requirement Calculation</t>
  </si>
  <si>
    <t>AJE 1--Revised For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</si>
</sst>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0.0%"/>
    <numFmt numFmtId="167" formatCode="&quot;$&quot;#,##0"/>
    <numFmt numFmtId="169" formatCode="0_);\(0\)"/>
    <numFmt numFmtId="171" formatCode="0.000%"/>
    <numFmt numFmtId="179" formatCode="0.000000"/>
    <numFmt numFmtId="180" formatCode="#,##0.0000_);\(#,##0.0000\)"/>
    <numFmt numFmtId="181" formatCode="_(* #,##0.0000_);_(* \(#,##0.0000\);_(* &quot;-&quot;??_);_(@_)"/>
    <numFmt numFmtId="182" formatCode="0.0000"/>
    <numFmt numFmtId="183" formatCode="0.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indexed="6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1"/>
      <color theme="1"/>
      <name val="Calibri"/>
      <family val="2"/>
      <scheme val="minor"/>
    </font>
    <font>
      <sz val="10"/>
      <name val="MS Sans Serif"/>
    </font>
    <font>
      <b/>
      <sz val="10"/>
      <name val="MS Sans Serif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mediumGray">
        <fgColor indexed="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3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0" fontId="9" fillId="0" borderId="1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6" fillId="0" borderId="0"/>
    <xf numFmtId="0" fontId="3" fillId="0" borderId="0"/>
    <xf numFmtId="9" fontId="15" fillId="0" borderId="0" applyFont="0" applyFill="0" applyBorder="0" applyAlignment="0" applyProtection="0"/>
    <xf numFmtId="0" fontId="20" fillId="4" borderId="0" applyNumberFormat="0" applyFont="0" applyBorder="0" applyAlignment="0" applyProtection="0"/>
    <xf numFmtId="3" fontId="20" fillId="0" borderId="0" applyFont="0" applyFill="0" applyBorder="0" applyAlignment="0" applyProtection="0"/>
    <xf numFmtId="0" fontId="21" fillId="0" borderId="11">
      <alignment horizontal="center"/>
    </xf>
    <xf numFmtId="4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0" fontId="20" fillId="0" borderId="0" applyNumberFormat="0" applyFont="0" applyFill="0" applyBorder="0" applyAlignment="0" applyProtection="0">
      <alignment horizontal="left"/>
    </xf>
    <xf numFmtId="0" fontId="20" fillId="0" borderId="0"/>
    <xf numFmtId="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</cellStyleXfs>
  <cellXfs count="299">
    <xf numFmtId="0" fontId="0" fillId="0" borderId="0" xfId="0"/>
    <xf numFmtId="0" fontId="2" fillId="2" borderId="2" xfId="2" applyFont="1" applyFill="1" applyBorder="1"/>
    <xf numFmtId="0" fontId="2" fillId="0" borderId="3" xfId="2" applyFont="1" applyBorder="1"/>
    <xf numFmtId="0" fontId="2" fillId="0" borderId="4" xfId="2" applyFont="1" applyBorder="1"/>
    <xf numFmtId="0" fontId="2" fillId="2" borderId="0" xfId="2" applyFont="1" applyFill="1"/>
    <xf numFmtId="0" fontId="2" fillId="0" borderId="6" xfId="2" applyFont="1" applyBorder="1" applyAlignment="1">
      <alignment horizontal="center"/>
    </xf>
    <xf numFmtId="0" fontId="2" fillId="0" borderId="0" xfId="2" applyFont="1" applyBorder="1"/>
    <xf numFmtId="0" fontId="1" fillId="0" borderId="5" xfId="2" applyBorder="1" applyAlignment="1">
      <alignment horizontal="center"/>
    </xf>
    <xf numFmtId="0" fontId="1" fillId="2" borderId="0" xfId="2" applyFill="1"/>
    <xf numFmtId="0" fontId="1" fillId="0" borderId="6" xfId="2" applyBorder="1"/>
    <xf numFmtId="0" fontId="1" fillId="0" borderId="0" xfId="2" applyBorder="1"/>
    <xf numFmtId="0" fontId="1" fillId="0" borderId="5" xfId="2" applyBorder="1"/>
    <xf numFmtId="0" fontId="2" fillId="0" borderId="5" xfId="2" applyFont="1" applyBorder="1" applyAlignment="1">
      <alignment horizontal="center"/>
    </xf>
    <xf numFmtId="164" fontId="1" fillId="0" borderId="5" xfId="3" applyNumberFormat="1" applyFont="1" applyBorder="1"/>
    <xf numFmtId="164" fontId="1" fillId="0" borderId="5" xfId="2" applyNumberFormat="1" applyBorder="1"/>
    <xf numFmtId="0" fontId="2" fillId="0" borderId="5" xfId="2" applyFont="1" applyFill="1" applyBorder="1" applyAlignment="1">
      <alignment horizontal="center"/>
    </xf>
    <xf numFmtId="0" fontId="1" fillId="0" borderId="6" xfId="2" applyFill="1" applyBorder="1"/>
    <xf numFmtId="0" fontId="1" fillId="0" borderId="0" xfId="2" applyFill="1" applyBorder="1"/>
    <xf numFmtId="164" fontId="2" fillId="0" borderId="7" xfId="2" applyNumberFormat="1" applyFont="1" applyBorder="1"/>
    <xf numFmtId="164" fontId="1" fillId="0" borderId="8" xfId="2" applyNumberFormat="1" applyBorder="1"/>
    <xf numFmtId="0" fontId="2" fillId="0" borderId="6" xfId="2" applyFont="1" applyBorder="1" applyAlignment="1">
      <alignment horizontal="right"/>
    </xf>
    <xf numFmtId="165" fontId="1" fillId="0" borderId="0" xfId="4" applyNumberFormat="1" applyFont="1" applyBorder="1"/>
    <xf numFmtId="10" fontId="1" fillId="0" borderId="5" xfId="4" applyNumberFormat="1" applyFont="1" applyBorder="1"/>
    <xf numFmtId="44" fontId="1" fillId="0" borderId="5" xfId="1" applyFont="1" applyBorder="1"/>
    <xf numFmtId="164" fontId="1" fillId="0" borderId="5" xfId="2" applyNumberFormat="1" applyFont="1" applyBorder="1"/>
    <xf numFmtId="164" fontId="1" fillId="0" borderId="5" xfId="2" quotePrefix="1" applyNumberForma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right"/>
    </xf>
    <xf numFmtId="0" fontId="2" fillId="0" borderId="11" xfId="2" applyFont="1" applyBorder="1"/>
    <xf numFmtId="17" fontId="0" fillId="0" borderId="0" xfId="0" applyNumberFormat="1"/>
    <xf numFmtId="164" fontId="1" fillId="3" borderId="5" xfId="2" applyNumberFormat="1" applyFill="1" applyBorder="1"/>
    <xf numFmtId="164" fontId="1" fillId="0" borderId="5" xfId="2" applyNumberFormat="1" applyFill="1" applyBorder="1"/>
    <xf numFmtId="164" fontId="1" fillId="0" borderId="0" xfId="2" applyNumberFormat="1" applyBorder="1"/>
    <xf numFmtId="0" fontId="0" fillId="0" borderId="0" xfId="0" applyBorder="1"/>
    <xf numFmtId="164" fontId="1" fillId="0" borderId="13" xfId="2" applyNumberFormat="1" applyFill="1" applyBorder="1"/>
    <xf numFmtId="164" fontId="1" fillId="0" borderId="0" xfId="1" applyNumberFormat="1" applyFont="1"/>
    <xf numFmtId="166" fontId="0" fillId="0" borderId="5" xfId="0" applyNumberFormat="1" applyBorder="1"/>
    <xf numFmtId="166" fontId="4" fillId="0" borderId="5" xfId="0" applyNumberFormat="1" applyFont="1" applyBorder="1"/>
    <xf numFmtId="164" fontId="0" fillId="0" borderId="0" xfId="1" applyNumberFormat="1" applyFont="1"/>
    <xf numFmtId="0" fontId="0" fillId="0" borderId="0" xfId="0"/>
    <xf numFmtId="164" fontId="0" fillId="0" borderId="0" xfId="0" applyNumberFormat="1"/>
    <xf numFmtId="164" fontId="1" fillId="0" borderId="0" xfId="2" applyNumberFormat="1" applyFont="1" applyFill="1" applyBorder="1"/>
    <xf numFmtId="0" fontId="1" fillId="0" borderId="0" xfId="2" applyFont="1" applyBorder="1" applyAlignment="1">
      <alignment horizontal="right"/>
    </xf>
    <xf numFmtId="0" fontId="4" fillId="0" borderId="0" xfId="808" applyFont="1"/>
    <xf numFmtId="0" fontId="0" fillId="0" borderId="6" xfId="2" applyFont="1" applyBorder="1"/>
    <xf numFmtId="0" fontId="1" fillId="0" borderId="0" xfId="393"/>
    <xf numFmtId="165" fontId="1" fillId="0" borderId="0" xfId="393" applyNumberFormat="1"/>
    <xf numFmtId="9" fontId="1" fillId="0" borderId="0" xfId="393" applyNumberFormat="1"/>
    <xf numFmtId="164" fontId="1" fillId="0" borderId="0" xfId="3" applyNumberFormat="1" applyFont="1"/>
    <xf numFmtId="164" fontId="2" fillId="0" borderId="17" xfId="2" applyNumberFormat="1" applyFont="1" applyBorder="1"/>
    <xf numFmtId="164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1" fillId="0" borderId="5" xfId="2" applyFill="1" applyBorder="1" applyAlignment="1">
      <alignment horizontal="center"/>
    </xf>
    <xf numFmtId="0" fontId="1" fillId="0" borderId="5" xfId="2" applyFill="1" applyBorder="1"/>
    <xf numFmtId="164" fontId="1" fillId="0" borderId="5" xfId="3" applyNumberFormat="1" applyFont="1" applyFill="1" applyBorder="1"/>
    <xf numFmtId="164" fontId="1" fillId="5" borderId="5" xfId="2" applyNumberFormat="1" applyFill="1" applyBorder="1"/>
    <xf numFmtId="164" fontId="2" fillId="0" borderId="5" xfId="2" applyNumberFormat="1" applyFont="1" applyFill="1" applyBorder="1"/>
    <xf numFmtId="0" fontId="2" fillId="0" borderId="5" xfId="2" applyFont="1" applyFill="1" applyBorder="1" applyAlignment="1">
      <alignment horizontal="right"/>
    </xf>
    <xf numFmtId="164" fontId="2" fillId="0" borderId="7" xfId="2" applyNumberFormat="1" applyFont="1" applyFill="1" applyBorder="1"/>
    <xf numFmtId="10" fontId="1" fillId="0" borderId="5" xfId="4" applyNumberFormat="1" applyFont="1" applyFill="1" applyBorder="1"/>
    <xf numFmtId="164" fontId="1" fillId="0" borderId="5" xfId="2" applyNumberFormat="1" applyFont="1" applyFill="1" applyBorder="1"/>
    <xf numFmtId="0" fontId="1" fillId="0" borderId="5" xfId="2" applyFont="1" applyFill="1" applyBorder="1" applyAlignment="1">
      <alignment horizontal="right"/>
    </xf>
    <xf numFmtId="0" fontId="1" fillId="0" borderId="9" xfId="2" applyFill="1" applyBorder="1" applyAlignment="1">
      <alignment horizontal="center"/>
    </xf>
    <xf numFmtId="0" fontId="1" fillId="0" borderId="9" xfId="2" applyFill="1" applyBorder="1"/>
    <xf numFmtId="17" fontId="0" fillId="0" borderId="18" xfId="0" applyNumberFormat="1" applyBorder="1"/>
    <xf numFmtId="164" fontId="1" fillId="0" borderId="1" xfId="3" applyNumberFormat="1" applyFont="1" applyFill="1" applyBorder="1"/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19" xfId="0" applyBorder="1"/>
    <xf numFmtId="164" fontId="1" fillId="0" borderId="12" xfId="3" applyNumberFormat="1" applyFont="1" applyFill="1" applyBorder="1"/>
    <xf numFmtId="164" fontId="1" fillId="5" borderId="13" xfId="2" applyNumberFormat="1" applyFill="1" applyBorder="1"/>
    <xf numFmtId="164" fontId="2" fillId="0" borderId="20" xfId="2" applyNumberFormat="1" applyFont="1" applyFill="1" applyBorder="1"/>
    <xf numFmtId="0" fontId="1" fillId="0" borderId="13" xfId="2" applyFill="1" applyBorder="1"/>
    <xf numFmtId="10" fontId="1" fillId="0" borderId="13" xfId="4" applyNumberFormat="1" applyFont="1" applyFill="1" applyBorder="1"/>
    <xf numFmtId="164" fontId="1" fillId="0" borderId="13" xfId="2" applyNumberFormat="1" applyFont="1" applyFill="1" applyBorder="1"/>
    <xf numFmtId="164" fontId="1" fillId="0" borderId="4" xfId="3" applyNumberFormat="1" applyFont="1" applyFill="1" applyBorder="1"/>
    <xf numFmtId="164" fontId="1" fillId="0" borderId="0" xfId="2" applyNumberFormat="1" applyFill="1" applyBorder="1"/>
    <xf numFmtId="164" fontId="1" fillId="5" borderId="0" xfId="2" applyNumberFormat="1" applyFill="1" applyBorder="1"/>
    <xf numFmtId="164" fontId="2" fillId="0" borderId="16" xfId="2" applyNumberFormat="1" applyFont="1" applyFill="1" applyBorder="1"/>
    <xf numFmtId="10" fontId="1" fillId="0" borderId="0" xfId="4" applyNumberFormat="1" applyFont="1" applyFill="1" applyBorder="1"/>
    <xf numFmtId="0" fontId="0" fillId="0" borderId="5" xfId="2" applyFont="1" applyFill="1" applyBorder="1" applyAlignment="1">
      <alignment horizontal="center"/>
    </xf>
    <xf numFmtId="0" fontId="0" fillId="0" borderId="5" xfId="2" applyFont="1" applyFill="1" applyBorder="1"/>
    <xf numFmtId="0" fontId="2" fillId="2" borderId="0" xfId="2" applyFont="1" applyFill="1" applyBorder="1"/>
    <xf numFmtId="0" fontId="0" fillId="0" borderId="4" xfId="0" applyBorder="1"/>
    <xf numFmtId="0" fontId="0" fillId="0" borderId="12" xfId="0" applyBorder="1"/>
    <xf numFmtId="0" fontId="2" fillId="0" borderId="13" xfId="2" applyFont="1" applyBorder="1"/>
    <xf numFmtId="0" fontId="2" fillId="2" borderId="11" xfId="2" applyFont="1" applyFill="1" applyBorder="1"/>
    <xf numFmtId="0" fontId="2" fillId="0" borderId="11" xfId="2" applyFont="1" applyBorder="1" applyAlignment="1">
      <alignment horizontal="center"/>
    </xf>
    <xf numFmtId="0" fontId="2" fillId="0" borderId="19" xfId="2" applyFont="1" applyBorder="1"/>
    <xf numFmtId="0" fontId="12" fillId="2" borderId="4" xfId="0" applyFont="1" applyFill="1" applyBorder="1"/>
    <xf numFmtId="0" fontId="0" fillId="0" borderId="0" xfId="0" applyFont="1"/>
    <xf numFmtId="164" fontId="3" fillId="0" borderId="0" xfId="365" applyNumberFormat="1" applyFont="1"/>
    <xf numFmtId="164" fontId="2" fillId="0" borderId="0" xfId="0" applyNumberFormat="1" applyFont="1" applyBorder="1"/>
    <xf numFmtId="0" fontId="2" fillId="0" borderId="0" xfId="0" applyFont="1" applyAlignment="1">
      <alignment horizontal="right"/>
    </xf>
    <xf numFmtId="0" fontId="13" fillId="0" borderId="0" xfId="808" applyFont="1"/>
    <xf numFmtId="40" fontId="4" fillId="6" borderId="0" xfId="0" applyNumberFormat="1" applyFont="1" applyFill="1" applyAlignment="1">
      <alignment horizontal="left" indent="1"/>
    </xf>
    <xf numFmtId="40" fontId="4" fillId="6" borderId="0" xfId="0" applyNumberFormat="1" applyFont="1" applyFill="1" applyAlignment="1">
      <alignment horizontal="left" indent="6"/>
    </xf>
    <xf numFmtId="164" fontId="2" fillId="0" borderId="21" xfId="2" applyNumberFormat="1" applyFont="1" applyFill="1" applyBorder="1"/>
    <xf numFmtId="0" fontId="2" fillId="0" borderId="6" xfId="2" applyFont="1" applyFill="1" applyBorder="1"/>
    <xf numFmtId="10" fontId="2" fillId="0" borderId="6" xfId="4" applyNumberFormat="1" applyFont="1" applyFill="1" applyBorder="1"/>
    <xf numFmtId="9" fontId="2" fillId="0" borderId="6" xfId="2" applyNumberFormat="1" applyFont="1" applyFill="1" applyBorder="1"/>
    <xf numFmtId="0" fontId="1" fillId="0" borderId="10" xfId="2" applyFill="1" applyBorder="1"/>
    <xf numFmtId="17" fontId="0" fillId="0" borderId="22" xfId="0" applyNumberFormat="1" applyBorder="1"/>
    <xf numFmtId="164" fontId="1" fillId="0" borderId="6" xfId="2" applyNumberFormat="1" applyFont="1" applyFill="1" applyBorder="1"/>
    <xf numFmtId="164" fontId="1" fillId="0" borderId="3" xfId="3" applyNumberFormat="1" applyFont="1" applyFill="1" applyBorder="1"/>
    <xf numFmtId="164" fontId="1" fillId="0" borderId="6" xfId="3" applyNumberFormat="1" applyFont="1" applyFill="1" applyBorder="1"/>
    <xf numFmtId="164" fontId="1" fillId="0" borderId="6" xfId="2" applyNumberFormat="1" applyFill="1" applyBorder="1"/>
    <xf numFmtId="164" fontId="1" fillId="5" borderId="6" xfId="2" applyNumberFormat="1" applyFill="1" applyBorder="1"/>
    <xf numFmtId="164" fontId="2" fillId="0" borderId="6" xfId="2" applyNumberFormat="1" applyFont="1" applyFill="1" applyBorder="1"/>
    <xf numFmtId="164" fontId="2" fillId="0" borderId="23" xfId="2" applyNumberFormat="1" applyFont="1" applyFill="1" applyBorder="1"/>
    <xf numFmtId="10" fontId="1" fillId="0" borderId="6" xfId="4" applyNumberFormat="1" applyFont="1" applyFill="1" applyBorder="1"/>
    <xf numFmtId="164" fontId="2" fillId="0" borderId="24" xfId="2" applyNumberFormat="1" applyFont="1" applyFill="1" applyBorder="1"/>
    <xf numFmtId="164" fontId="1" fillId="0" borderId="13" xfId="3" applyNumberFormat="1" applyFont="1" applyFill="1" applyBorder="1"/>
    <xf numFmtId="164" fontId="2" fillId="0" borderId="13" xfId="2" applyNumberFormat="1" applyFont="1" applyFill="1" applyBorder="1"/>
    <xf numFmtId="164" fontId="2" fillId="0" borderId="25" xfId="2" applyNumberFormat="1" applyFont="1" applyFill="1" applyBorder="1"/>
    <xf numFmtId="164" fontId="1" fillId="0" borderId="0" xfId="3" applyNumberFormat="1" applyFont="1" applyFill="1" applyBorder="1"/>
    <xf numFmtId="164" fontId="2" fillId="0" borderId="0" xfId="2" applyNumberFormat="1" applyFont="1" applyFill="1" applyBorder="1"/>
    <xf numFmtId="164" fontId="2" fillId="0" borderId="15" xfId="2" applyNumberFormat="1" applyFont="1" applyFill="1" applyBorder="1"/>
    <xf numFmtId="0" fontId="4" fillId="0" borderId="0" xfId="808"/>
    <xf numFmtId="10" fontId="0" fillId="0" borderId="5" xfId="4" applyNumberFormat="1" applyFont="1" applyFill="1" applyBorder="1"/>
    <xf numFmtId="164" fontId="0" fillId="0" borderId="5" xfId="2" applyNumberFormat="1" applyFont="1" applyBorder="1"/>
    <xf numFmtId="164" fontId="1" fillId="0" borderId="5" xfId="2" applyNumberFormat="1" applyFill="1" applyBorder="1"/>
    <xf numFmtId="43" fontId="4" fillId="0" borderId="0" xfId="5" applyFont="1" applyFill="1"/>
    <xf numFmtId="0" fontId="4" fillId="0" borderId="0" xfId="808" applyFont="1" applyFill="1"/>
    <xf numFmtId="166" fontId="4" fillId="0" borderId="5" xfId="0" applyNumberFormat="1" applyFont="1" applyFill="1" applyBorder="1"/>
    <xf numFmtId="166" fontId="0" fillId="0" borderId="5" xfId="0" applyNumberFormat="1" applyFill="1" applyBorder="1"/>
    <xf numFmtId="0" fontId="0" fillId="0" borderId="0" xfId="0" applyFill="1"/>
    <xf numFmtId="164" fontId="1" fillId="0" borderId="1" xfId="3" applyNumberFormat="1" applyFont="1" applyBorder="1"/>
    <xf numFmtId="164" fontId="1" fillId="0" borderId="17" xfId="3" applyNumberFormat="1" applyFont="1" applyBorder="1"/>
    <xf numFmtId="164" fontId="2" fillId="0" borderId="30" xfId="2" applyNumberFormat="1" applyFont="1" applyBorder="1"/>
    <xf numFmtId="164" fontId="2" fillId="0" borderId="14" xfId="2" applyNumberFormat="1" applyFont="1" applyBorder="1"/>
    <xf numFmtId="43" fontId="4" fillId="0" borderId="0" xfId="5" applyFont="1" applyFill="1" applyBorder="1"/>
    <xf numFmtId="164" fontId="1" fillId="0" borderId="0" xfId="3" applyNumberFormat="1" applyFont="1" applyBorder="1"/>
    <xf numFmtId="164" fontId="1" fillId="3" borderId="0" xfId="2" applyNumberFormat="1" applyFill="1" applyBorder="1"/>
    <xf numFmtId="164" fontId="2" fillId="0" borderId="16" xfId="2" applyNumberFormat="1" applyFont="1" applyBorder="1"/>
    <xf numFmtId="164" fontId="1" fillId="0" borderId="28" xfId="2" applyNumberFormat="1" applyBorder="1"/>
    <xf numFmtId="164" fontId="2" fillId="0" borderId="20" xfId="2" applyNumberFormat="1" applyFont="1" applyBorder="1"/>
    <xf numFmtId="44" fontId="1" fillId="0" borderId="0" xfId="1" applyFont="1" applyBorder="1"/>
    <xf numFmtId="164" fontId="1" fillId="0" borderId="0" xfId="2" applyNumberFormat="1" applyFont="1" applyBorder="1"/>
    <xf numFmtId="164" fontId="1" fillId="0" borderId="0" xfId="2" quotePrefix="1" applyNumberFormat="1" applyBorder="1" applyAlignment="1">
      <alignment horizontal="center"/>
    </xf>
    <xf numFmtId="164" fontId="2" fillId="0" borderId="31" xfId="2" applyNumberFormat="1" applyFont="1" applyBorder="1"/>
    <xf numFmtId="164" fontId="2" fillId="0" borderId="32" xfId="2" applyNumberFormat="1" applyFont="1" applyBorder="1"/>
    <xf numFmtId="43" fontId="4" fillId="0" borderId="5" xfId="5" applyFont="1" applyFill="1" applyBorder="1"/>
    <xf numFmtId="17" fontId="0" fillId="0" borderId="33" xfId="0" applyNumberFormat="1" applyBorder="1"/>
    <xf numFmtId="17" fontId="0" fillId="0" borderId="34" xfId="0" applyNumberFormat="1" applyBorder="1"/>
    <xf numFmtId="164" fontId="2" fillId="0" borderId="35" xfId="2" applyNumberFormat="1" applyFont="1" applyBorder="1"/>
    <xf numFmtId="17" fontId="0" fillId="0" borderId="30" xfId="0" applyNumberFormat="1" applyBorder="1"/>
    <xf numFmtId="17" fontId="0" fillId="0" borderId="36" xfId="0" applyNumberFormat="1" applyBorder="1"/>
    <xf numFmtId="164" fontId="1" fillId="0" borderId="31" xfId="3" applyNumberFormat="1" applyFont="1" applyBorder="1"/>
    <xf numFmtId="164" fontId="1" fillId="0" borderId="37" xfId="3" applyNumberFormat="1" applyFont="1" applyBorder="1"/>
    <xf numFmtId="164" fontId="1" fillId="0" borderId="27" xfId="3" applyNumberFormat="1" applyFont="1" applyBorder="1"/>
    <xf numFmtId="164" fontId="1" fillId="0" borderId="27" xfId="2" applyNumberFormat="1" applyBorder="1"/>
    <xf numFmtId="164" fontId="1" fillId="3" borderId="27" xfId="2" applyNumberFormat="1" applyFill="1" applyBorder="1"/>
    <xf numFmtId="164" fontId="2" fillId="0" borderId="38" xfId="2" applyNumberFormat="1" applyFont="1" applyBorder="1"/>
    <xf numFmtId="43" fontId="4" fillId="0" borderId="27" xfId="5" applyFont="1" applyFill="1" applyBorder="1"/>
    <xf numFmtId="164" fontId="1" fillId="0" borderId="29" xfId="2" applyNumberFormat="1" applyBorder="1"/>
    <xf numFmtId="0" fontId="1" fillId="0" borderId="27" xfId="2" applyBorder="1"/>
    <xf numFmtId="44" fontId="1" fillId="0" borderId="27" xfId="1" applyFont="1" applyBorder="1"/>
    <xf numFmtId="164" fontId="1" fillId="0" borderId="27" xfId="2" applyNumberFormat="1" applyFont="1" applyBorder="1"/>
    <xf numFmtId="164" fontId="1" fillId="0" borderId="27" xfId="2" quotePrefix="1" applyNumberFormat="1" applyBorder="1" applyAlignment="1">
      <alignment horizontal="center"/>
    </xf>
    <xf numFmtId="164" fontId="2" fillId="0" borderId="37" xfId="2" applyNumberFormat="1" applyFont="1" applyBorder="1"/>
    <xf numFmtId="164" fontId="2" fillId="0" borderId="39" xfId="2" applyNumberFormat="1" applyFont="1" applyBorder="1"/>
    <xf numFmtId="0" fontId="4" fillId="0" borderId="0" xfId="398" applyAlignment="1">
      <alignment horizontal="center"/>
    </xf>
    <xf numFmtId="0" fontId="4" fillId="0" borderId="0" xfId="398"/>
    <xf numFmtId="49" fontId="4" fillId="0" borderId="0" xfId="398" applyNumberFormat="1" applyAlignment="1">
      <alignment horizontal="left"/>
    </xf>
    <xf numFmtId="0" fontId="4" fillId="0" borderId="0" xfId="398" applyFont="1"/>
    <xf numFmtId="0" fontId="4" fillId="0" borderId="0" xfId="398" applyBorder="1" applyAlignment="1">
      <alignment horizontal="center"/>
    </xf>
    <xf numFmtId="0" fontId="4" fillId="0" borderId="0" xfId="398" applyBorder="1"/>
    <xf numFmtId="49" fontId="5" fillId="0" borderId="2" xfId="378" applyNumberFormat="1" applyBorder="1" applyAlignment="1">
      <alignment horizontal="center" wrapText="1"/>
    </xf>
    <xf numFmtId="49" fontId="5" fillId="7" borderId="4" xfId="378" applyNumberFormat="1" applyFill="1" applyBorder="1" applyAlignment="1">
      <alignment wrapText="1"/>
    </xf>
    <xf numFmtId="49" fontId="5" fillId="0" borderId="40" xfId="378" applyNumberFormat="1" applyBorder="1" applyAlignment="1">
      <alignment horizontal="center" wrapText="1"/>
    </xf>
    <xf numFmtId="49" fontId="5" fillId="7" borderId="32" xfId="378" applyNumberFormat="1" applyFill="1" applyBorder="1" applyAlignment="1">
      <alignment wrapText="1"/>
    </xf>
    <xf numFmtId="49" fontId="5" fillId="0" borderId="32" xfId="378" applyNumberFormat="1" applyBorder="1" applyAlignment="1">
      <alignment horizontal="center" wrapText="1"/>
    </xf>
    <xf numFmtId="49" fontId="5" fillId="0" borderId="2" xfId="378" applyNumberFormat="1" applyFill="1" applyBorder="1" applyAlignment="1">
      <alignment wrapText="1"/>
    </xf>
    <xf numFmtId="0" fontId="5" fillId="7" borderId="32" xfId="378" applyFill="1" applyBorder="1"/>
    <xf numFmtId="0" fontId="5" fillId="0" borderId="32" xfId="378" applyBorder="1" applyAlignment="1">
      <alignment horizontal="center"/>
    </xf>
    <xf numFmtId="0" fontId="5" fillId="7" borderId="32" xfId="378" applyFill="1" applyBorder="1" applyAlignment="1">
      <alignment horizontal="center"/>
    </xf>
    <xf numFmtId="0" fontId="5" fillId="0" borderId="32" xfId="378" applyBorder="1"/>
    <xf numFmtId="49" fontId="5" fillId="0" borderId="26" xfId="378" applyNumberFormat="1" applyBorder="1" applyAlignment="1">
      <alignment horizontal="center" wrapText="1"/>
    </xf>
    <xf numFmtId="49" fontId="4" fillId="0" borderId="0" xfId="398" applyNumberFormat="1" applyBorder="1" applyAlignment="1">
      <alignment horizontal="center" wrapText="1"/>
    </xf>
    <xf numFmtId="49" fontId="5" fillId="0" borderId="6" xfId="378" applyNumberFormat="1" applyBorder="1" applyAlignment="1">
      <alignment horizontal="center" wrapText="1"/>
    </xf>
    <xf numFmtId="49" fontId="5" fillId="7" borderId="0" xfId="378" applyNumberFormat="1" applyFill="1" applyBorder="1" applyAlignment="1">
      <alignment wrapText="1"/>
    </xf>
    <xf numFmtId="49" fontId="5" fillId="0" borderId="0" xfId="378" applyNumberFormat="1" applyBorder="1" applyAlignment="1">
      <alignment horizontal="center" wrapText="1"/>
    </xf>
    <xf numFmtId="49" fontId="23" fillId="0" borderId="0" xfId="378" applyNumberFormat="1" applyFont="1" applyBorder="1" applyAlignment="1">
      <alignment horizontal="center" wrapText="1"/>
    </xf>
    <xf numFmtId="49" fontId="5" fillId="0" borderId="5" xfId="378" applyNumberFormat="1" applyFill="1" applyBorder="1" applyAlignment="1">
      <alignment wrapText="1"/>
    </xf>
    <xf numFmtId="0" fontId="5" fillId="7" borderId="0" xfId="378" applyFill="1" applyBorder="1"/>
    <xf numFmtId="0" fontId="5" fillId="0" borderId="0" xfId="378" applyBorder="1" applyAlignment="1">
      <alignment horizontal="center"/>
    </xf>
    <xf numFmtId="0" fontId="5" fillId="7" borderId="0" xfId="378" applyFill="1" applyBorder="1" applyAlignment="1">
      <alignment horizontal="center"/>
    </xf>
    <xf numFmtId="0" fontId="5" fillId="0" borderId="0" xfId="378" applyBorder="1"/>
    <xf numFmtId="49" fontId="5" fillId="0" borderId="13" xfId="378" applyNumberFormat="1" applyBorder="1" applyAlignment="1">
      <alignment horizontal="center" wrapText="1"/>
    </xf>
    <xf numFmtId="0" fontId="5" fillId="0" borderId="1" xfId="378" applyBorder="1" applyAlignment="1">
      <alignment horizontal="center"/>
    </xf>
    <xf numFmtId="0" fontId="5" fillId="7" borderId="4" xfId="378" applyFill="1" applyBorder="1"/>
    <xf numFmtId="0" fontId="5" fillId="0" borderId="4" xfId="378" applyBorder="1"/>
    <xf numFmtId="0" fontId="5" fillId="0" borderId="1" xfId="378" applyFill="1" applyBorder="1"/>
    <xf numFmtId="0" fontId="5" fillId="0" borderId="12" xfId="378" applyBorder="1"/>
    <xf numFmtId="0" fontId="0" fillId="0" borderId="5" xfId="378" applyFont="1" applyBorder="1" applyAlignment="1">
      <alignment horizontal="center"/>
    </xf>
    <xf numFmtId="5" fontId="11" fillId="0" borderId="0" xfId="378" applyNumberFormat="1" applyFont="1" applyBorder="1"/>
    <xf numFmtId="10" fontId="5" fillId="0" borderId="0" xfId="378" applyNumberFormat="1" applyBorder="1"/>
    <xf numFmtId="10" fontId="11" fillId="0" borderId="0" xfId="378" applyNumberFormat="1" applyFont="1" applyBorder="1"/>
    <xf numFmtId="0" fontId="5" fillId="0" borderId="5" xfId="378" applyFill="1" applyBorder="1"/>
    <xf numFmtId="179" fontId="5" fillId="0" borderId="0" xfId="378" applyNumberFormat="1" applyBorder="1" applyAlignment="1">
      <alignment horizontal="center"/>
    </xf>
    <xf numFmtId="0" fontId="0" fillId="0" borderId="0" xfId="378" applyFont="1" applyBorder="1"/>
    <xf numFmtId="165" fontId="5" fillId="0" borderId="13" xfId="378" applyNumberFormat="1" applyBorder="1"/>
    <xf numFmtId="10" fontId="4" fillId="0" borderId="0" xfId="398" applyNumberFormat="1" applyBorder="1"/>
    <xf numFmtId="49" fontId="5" fillId="0" borderId="0" xfId="378" applyNumberFormat="1" applyFill="1" applyBorder="1" applyAlignment="1">
      <alignment wrapText="1"/>
    </xf>
    <xf numFmtId="10" fontId="23" fillId="0" borderId="0" xfId="378" applyNumberFormat="1" applyFont="1" applyBorder="1"/>
    <xf numFmtId="0" fontId="4" fillId="0" borderId="5" xfId="378" applyFont="1" applyBorder="1" applyAlignment="1">
      <alignment horizontal="center"/>
    </xf>
    <xf numFmtId="179" fontId="23" fillId="0" borderId="0" xfId="378" applyNumberFormat="1" applyFont="1" applyBorder="1" applyAlignment="1">
      <alignment horizontal="center"/>
    </xf>
    <xf numFmtId="0" fontId="0" fillId="0" borderId="0" xfId="378" applyFont="1" applyBorder="1" applyAlignment="1">
      <alignment horizontal="center"/>
    </xf>
    <xf numFmtId="171" fontId="5" fillId="0" borderId="0" xfId="378" applyNumberFormat="1" applyBorder="1"/>
    <xf numFmtId="171" fontId="24" fillId="0" borderId="0" xfId="378" applyNumberFormat="1" applyFont="1" applyBorder="1"/>
    <xf numFmtId="180" fontId="5" fillId="0" borderId="13" xfId="378" applyNumberFormat="1" applyBorder="1"/>
    <xf numFmtId="180" fontId="4" fillId="0" borderId="0" xfId="398" applyNumberFormat="1" applyBorder="1"/>
    <xf numFmtId="5" fontId="22" fillId="0" borderId="0" xfId="378" applyNumberFormat="1" applyFont="1" applyBorder="1"/>
    <xf numFmtId="10" fontId="13" fillId="0" borderId="0" xfId="378" applyNumberFormat="1" applyFont="1" applyBorder="1"/>
    <xf numFmtId="165" fontId="13" fillId="0" borderId="13" xfId="378" applyNumberFormat="1" applyFont="1" applyBorder="1" applyAlignment="1">
      <alignment horizontal="right" wrapText="1"/>
    </xf>
    <xf numFmtId="10" fontId="13" fillId="0" borderId="0" xfId="398" applyNumberFormat="1" applyFont="1" applyBorder="1" applyAlignment="1">
      <alignment horizontal="center" wrapText="1"/>
    </xf>
    <xf numFmtId="0" fontId="5" fillId="0" borderId="13" xfId="378" applyBorder="1"/>
    <xf numFmtId="0" fontId="0" fillId="0" borderId="9" xfId="378" applyFont="1" applyBorder="1" applyAlignment="1">
      <alignment horizontal="center"/>
    </xf>
    <xf numFmtId="0" fontId="5" fillId="7" borderId="11" xfId="378" applyFill="1" applyBorder="1"/>
    <xf numFmtId="0" fontId="5" fillId="0" borderId="11" xfId="378" applyBorder="1"/>
    <xf numFmtId="0" fontId="5" fillId="0" borderId="9" xfId="378" applyFill="1" applyBorder="1"/>
    <xf numFmtId="0" fontId="5" fillId="0" borderId="19" xfId="378" applyBorder="1"/>
    <xf numFmtId="0" fontId="4" fillId="0" borderId="6" xfId="398" applyBorder="1" applyAlignment="1">
      <alignment horizontal="center"/>
    </xf>
    <xf numFmtId="0" fontId="4" fillId="7" borderId="0" xfId="398" applyFill="1" applyBorder="1"/>
    <xf numFmtId="0" fontId="4" fillId="7" borderId="0" xfId="398" applyFill="1" applyBorder="1" applyAlignment="1">
      <alignment horizontal="center"/>
    </xf>
    <xf numFmtId="0" fontId="4" fillId="0" borderId="13" xfId="398" applyBorder="1"/>
    <xf numFmtId="0" fontId="4" fillId="0" borderId="0" xfId="398" applyFill="1" applyBorder="1" applyAlignment="1">
      <alignment horizontal="center"/>
    </xf>
    <xf numFmtId="0" fontId="4" fillId="0" borderId="0" xfId="398" applyFill="1" applyBorder="1"/>
    <xf numFmtId="0" fontId="4" fillId="0" borderId="0" xfId="398" applyFill="1"/>
    <xf numFmtId="0" fontId="14" fillId="0" borderId="0" xfId="398" applyFont="1" applyFill="1" applyBorder="1" applyAlignment="1">
      <alignment horizontal="center"/>
    </xf>
    <xf numFmtId="181" fontId="5" fillId="0" borderId="0" xfId="108" applyNumberFormat="1" applyFont="1" applyBorder="1"/>
    <xf numFmtId="181" fontId="5" fillId="0" borderId="0" xfId="108" applyNumberFormat="1" applyFont="1" applyBorder="1" applyAlignment="1">
      <alignment horizontal="right"/>
    </xf>
    <xf numFmtId="0" fontId="5" fillId="0" borderId="0" xfId="378"/>
    <xf numFmtId="181" fontId="5" fillId="0" borderId="0" xfId="108" applyNumberFormat="1" applyFont="1" applyAlignment="1">
      <alignment horizontal="right"/>
    </xf>
    <xf numFmtId="0" fontId="0" fillId="0" borderId="0" xfId="378" applyFont="1"/>
    <xf numFmtId="182" fontId="5" fillId="0" borderId="0" xfId="378" applyNumberFormat="1"/>
    <xf numFmtId="0" fontId="4" fillId="0" borderId="0" xfId="378" applyFont="1"/>
    <xf numFmtId="0" fontId="4" fillId="0" borderId="0" xfId="398" applyFont="1" applyAlignment="1">
      <alignment horizontal="center"/>
    </xf>
    <xf numFmtId="0" fontId="5" fillId="0" borderId="0" xfId="378" applyAlignment="1">
      <alignment horizontal="center"/>
    </xf>
    <xf numFmtId="181" fontId="5" fillId="0" borderId="0" xfId="108" applyNumberFormat="1" applyFont="1" applyAlignment="1">
      <alignment horizontal="right" vertical="center"/>
    </xf>
    <xf numFmtId="0" fontId="5" fillId="0" borderId="0" xfId="378" applyAlignment="1">
      <alignment horizontal="right"/>
    </xf>
    <xf numFmtId="183" fontId="5" fillId="0" borderId="0" xfId="378" applyNumberFormat="1"/>
    <xf numFmtId="182" fontId="5" fillId="0" borderId="0" xfId="378" applyNumberFormat="1" applyAlignment="1">
      <alignment horizontal="right"/>
    </xf>
    <xf numFmtId="0" fontId="4" fillId="0" borderId="0" xfId="378" applyFont="1" applyAlignment="1">
      <alignment horizontal="center"/>
    </xf>
    <xf numFmtId="0" fontId="4" fillId="0" borderId="0" xfId="378" applyFont="1" applyAlignment="1">
      <alignment horizontal="right"/>
    </xf>
    <xf numFmtId="0" fontId="13" fillId="0" borderId="0" xfId="378" applyFont="1" applyFill="1" applyBorder="1" applyAlignment="1">
      <alignment horizontal="center"/>
    </xf>
    <xf numFmtId="37" fontId="4" fillId="0" borderId="0" xfId="378" applyNumberFormat="1" applyFont="1" applyFill="1" applyBorder="1" applyAlignment="1">
      <alignment horizontal="center"/>
    </xf>
    <xf numFmtId="0" fontId="4" fillId="0" borderId="0" xfId="378" applyFont="1" applyFill="1" applyBorder="1"/>
    <xf numFmtId="0" fontId="5" fillId="0" borderId="0" xfId="378" applyFill="1" applyBorder="1"/>
    <xf numFmtId="10" fontId="5" fillId="0" borderId="0" xfId="378" applyNumberFormat="1" applyFill="1" applyBorder="1"/>
    <xf numFmtId="0" fontId="5" fillId="0" borderId="0" xfId="378" applyFill="1" applyBorder="1" applyAlignment="1">
      <alignment horizontal="center"/>
    </xf>
    <xf numFmtId="0" fontId="5" fillId="0" borderId="0" xfId="378" applyFill="1"/>
    <xf numFmtId="49" fontId="4" fillId="0" borderId="0" xfId="378" applyNumberFormat="1" applyFont="1" applyFill="1" applyBorder="1" applyAlignment="1">
      <alignment horizontal="center" wrapText="1"/>
    </xf>
    <xf numFmtId="37" fontId="5" fillId="0" borderId="0" xfId="378" applyNumberFormat="1" applyFill="1" applyBorder="1" applyAlignment="1">
      <alignment horizontal="center"/>
    </xf>
    <xf numFmtId="44" fontId="0" fillId="0" borderId="0" xfId="1" applyFont="1"/>
    <xf numFmtId="0" fontId="19" fillId="0" borderId="0" xfId="0" applyFont="1"/>
    <xf numFmtId="44" fontId="19" fillId="0" borderId="0" xfId="1" applyFont="1"/>
    <xf numFmtId="44" fontId="2" fillId="0" borderId="16" xfId="1" applyFont="1" applyBorder="1"/>
    <xf numFmtId="0" fontId="2" fillId="0" borderId="5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5" fontId="4" fillId="0" borderId="0" xfId="808" applyNumberFormat="1"/>
    <xf numFmtId="0" fontId="4" fillId="0" borderId="0" xfId="808" applyAlignment="1"/>
    <xf numFmtId="5" fontId="4" fillId="0" borderId="0" xfId="808" applyNumberFormat="1" applyBorder="1"/>
    <xf numFmtId="5" fontId="13" fillId="0" borderId="15" xfId="808" applyNumberFormat="1" applyFont="1" applyBorder="1"/>
    <xf numFmtId="167" fontId="13" fillId="0" borderId="15" xfId="808" applyNumberFormat="1" applyFont="1" applyBorder="1"/>
    <xf numFmtId="0" fontId="4" fillId="0" borderId="0" xfId="808" applyFont="1" applyAlignment="1"/>
    <xf numFmtId="5" fontId="13" fillId="0" borderId="0" xfId="808" applyNumberFormat="1" applyFont="1" applyBorder="1"/>
    <xf numFmtId="5" fontId="4" fillId="0" borderId="0" xfId="808" applyNumberFormat="1" applyFont="1"/>
    <xf numFmtId="167" fontId="4" fillId="0" borderId="0" xfId="808" applyNumberFormat="1" applyFont="1"/>
    <xf numFmtId="167" fontId="4" fillId="0" borderId="0" xfId="808" applyNumberFormat="1" applyFont="1" applyFill="1"/>
    <xf numFmtId="2" fontId="4" fillId="0" borderId="0" xfId="808" quotePrefix="1" applyNumberFormat="1" applyFont="1"/>
    <xf numFmtId="164" fontId="25" fillId="0" borderId="0" xfId="1" applyNumberFormat="1" applyFont="1"/>
    <xf numFmtId="164" fontId="25" fillId="0" borderId="0" xfId="2" applyNumberFormat="1" applyFont="1" applyBorder="1"/>
    <xf numFmtId="164" fontId="25" fillId="0" borderId="0" xfId="1" applyNumberFormat="1" applyFont="1" applyAlignment="1">
      <alignment horizontal="right"/>
    </xf>
    <xf numFmtId="49" fontId="4" fillId="0" borderId="0" xfId="808" quotePrefix="1" applyNumberFormat="1" applyFont="1"/>
    <xf numFmtId="167" fontId="4" fillId="0" borderId="0" xfId="808" applyNumberFormat="1" applyFont="1" applyFill="1" applyBorder="1"/>
    <xf numFmtId="2" fontId="4" fillId="0" borderId="0" xfId="808" applyNumberFormat="1" applyFont="1"/>
    <xf numFmtId="0" fontId="4" fillId="0" borderId="0" xfId="808" applyFont="1" applyAlignment="1">
      <alignment horizontal="center"/>
    </xf>
    <xf numFmtId="0" fontId="4" fillId="0" borderId="0" xfId="808" applyFont="1" applyFill="1" applyBorder="1"/>
    <xf numFmtId="169" fontId="13" fillId="0" borderId="0" xfId="808" applyNumberFormat="1" applyFont="1" applyAlignment="1">
      <alignment horizontal="center"/>
    </xf>
    <xf numFmtId="169" fontId="13" fillId="0" borderId="0" xfId="808" applyNumberFormat="1" applyFont="1" applyFill="1" applyAlignment="1">
      <alignment horizontal="center"/>
    </xf>
    <xf numFmtId="0" fontId="13" fillId="0" borderId="0" xfId="808" applyFont="1" applyAlignment="1"/>
    <xf numFmtId="0" fontId="14" fillId="0" borderId="0" xfId="808" applyFont="1" applyAlignment="1">
      <alignment horizontal="center" wrapText="1"/>
    </xf>
    <xf numFmtId="0" fontId="13" fillId="0" borderId="0" xfId="808" applyFont="1" applyBorder="1" applyAlignment="1">
      <alignment horizontal="center" wrapText="1"/>
    </xf>
    <xf numFmtId="0" fontId="13" fillId="0" borderId="0" xfId="808" applyFont="1" applyAlignment="1">
      <alignment horizontal="center" wrapText="1"/>
    </xf>
    <xf numFmtId="0" fontId="14" fillId="0" borderId="0" xfId="808" applyFont="1" applyAlignment="1">
      <alignment horizontal="center"/>
    </xf>
    <xf numFmtId="0" fontId="13" fillId="0" borderId="0" xfId="808" applyFont="1" applyAlignment="1">
      <alignment horizontal="center"/>
    </xf>
    <xf numFmtId="0" fontId="4" fillId="0" borderId="0" xfId="808" applyFont="1" applyAlignment="1">
      <alignment horizontal="center" wrapText="1"/>
    </xf>
    <xf numFmtId="0" fontId="13" fillId="0" borderId="0" xfId="808" applyFont="1" applyAlignment="1">
      <alignment horizontal="center" wrapText="1"/>
    </xf>
    <xf numFmtId="0" fontId="4" fillId="0" borderId="0" xfId="808" applyAlignment="1">
      <alignment horizontal="right"/>
    </xf>
  </cellXfs>
  <cellStyles count="831">
    <cellStyle name="Comma 10" xfId="5"/>
    <cellStyle name="Comma 10 2" xfId="6"/>
    <cellStyle name="Comma 10 3" xfId="7"/>
    <cellStyle name="Comma 10 3 2" xfId="8"/>
    <cellStyle name="Comma 10 3 3" xfId="9"/>
    <cellStyle name="Comma 10 4" xfId="10"/>
    <cellStyle name="Comma 10 4 2" xfId="11"/>
    <cellStyle name="Comma 10 4 3" xfId="12"/>
    <cellStyle name="Comma 10 4 4" xfId="13"/>
    <cellStyle name="Comma 10 5" xfId="14"/>
    <cellStyle name="Comma 10 5 2" xfId="15"/>
    <cellStyle name="Comma 10 5 2 2" xfId="16"/>
    <cellStyle name="Comma 10 5 2 3" xfId="17"/>
    <cellStyle name="Comma 10 5 2 3 2" xfId="18"/>
    <cellStyle name="Comma 10 5 3" xfId="19"/>
    <cellStyle name="Comma 10 6" xfId="20"/>
    <cellStyle name="Comma 10 6 2" xfId="21"/>
    <cellStyle name="Comma 10 6 3" xfId="22"/>
    <cellStyle name="Comma 10 6 3 2" xfId="23"/>
    <cellStyle name="Comma 10 7" xfId="24"/>
    <cellStyle name="Comma 10 8" xfId="25"/>
    <cellStyle name="Comma 10 8 2" xfId="26"/>
    <cellStyle name="Comma 11" xfId="27"/>
    <cellStyle name="Comma 11 10" xfId="28"/>
    <cellStyle name="Comma 11 11" xfId="29"/>
    <cellStyle name="Comma 11 11 2" xfId="30"/>
    <cellStyle name="Comma 11 11 2 2" xfId="31"/>
    <cellStyle name="Comma 11 11 2 3" xfId="32"/>
    <cellStyle name="Comma 11 11 2 3 2" xfId="33"/>
    <cellStyle name="Comma 11 12" xfId="34"/>
    <cellStyle name="Comma 11 13" xfId="35"/>
    <cellStyle name="Comma 11 13 2" xfId="36"/>
    <cellStyle name="Comma 11 13 2 2" xfId="37"/>
    <cellStyle name="Comma 11 13 2 3" xfId="38"/>
    <cellStyle name="Comma 11 13 2 3 2" xfId="39"/>
    <cellStyle name="Comma 11 2" xfId="40"/>
    <cellStyle name="Comma 11 3" xfId="41"/>
    <cellStyle name="Comma 11 4" xfId="42"/>
    <cellStyle name="Comma 11 5" xfId="43"/>
    <cellStyle name="Comma 11 6" xfId="44"/>
    <cellStyle name="Comma 11 7" xfId="45"/>
    <cellStyle name="Comma 11 7 2" xfId="46"/>
    <cellStyle name="Comma 11 7 2 2" xfId="47"/>
    <cellStyle name="Comma 11 7 2 3" xfId="48"/>
    <cellStyle name="Comma 11 8" xfId="49"/>
    <cellStyle name="Comma 11 9" xfId="50"/>
    <cellStyle name="Comma 12" xfId="51"/>
    <cellStyle name="Comma 12 10" xfId="52"/>
    <cellStyle name="Comma 12 10 2" xfId="53"/>
    <cellStyle name="Comma 12 10 2 2" xfId="54"/>
    <cellStyle name="Comma 12 10 2 3" xfId="55"/>
    <cellStyle name="Comma 12 10 2 3 2" xfId="56"/>
    <cellStyle name="Comma 12 11" xfId="57"/>
    <cellStyle name="Comma 12 12" xfId="58"/>
    <cellStyle name="Comma 12 12 2" xfId="59"/>
    <cellStyle name="Comma 12 12 2 2" xfId="60"/>
    <cellStyle name="Comma 12 12 2 3" xfId="61"/>
    <cellStyle name="Comma 12 12 2 3 2" xfId="62"/>
    <cellStyle name="Comma 12 2" xfId="63"/>
    <cellStyle name="Comma 12 3" xfId="64"/>
    <cellStyle name="Comma 12 4" xfId="65"/>
    <cellStyle name="Comma 12 5" xfId="66"/>
    <cellStyle name="Comma 12 6" xfId="67"/>
    <cellStyle name="Comma 12 6 2" xfId="68"/>
    <cellStyle name="Comma 12 6 2 2" xfId="69"/>
    <cellStyle name="Comma 12 6 2 3" xfId="70"/>
    <cellStyle name="Comma 12 7" xfId="71"/>
    <cellStyle name="Comma 12 8" xfId="72"/>
    <cellStyle name="Comma 12 9" xfId="73"/>
    <cellStyle name="Comma 13" xfId="74"/>
    <cellStyle name="Comma 13 2" xfId="75"/>
    <cellStyle name="Comma 13 3" xfId="76"/>
    <cellStyle name="Comma 13 4" xfId="77"/>
    <cellStyle name="Comma 13 5" xfId="78"/>
    <cellStyle name="Comma 13 6" xfId="79"/>
    <cellStyle name="Comma 14" xfId="80"/>
    <cellStyle name="Comma 14 2" xfId="81"/>
    <cellStyle name="Comma 14 3" xfId="82"/>
    <cellStyle name="Comma 14 4" xfId="83"/>
    <cellStyle name="Comma 14 5" xfId="84"/>
    <cellStyle name="Comma 15" xfId="85"/>
    <cellStyle name="Comma 15 2" xfId="86"/>
    <cellStyle name="Comma 15 3" xfId="87"/>
    <cellStyle name="Comma 15 4" xfId="88"/>
    <cellStyle name="Comma 15 5" xfId="89"/>
    <cellStyle name="Comma 16" xfId="90"/>
    <cellStyle name="Comma 16 2" xfId="91"/>
    <cellStyle name="Comma 16 3" xfId="92"/>
    <cellStyle name="Comma 16 3 2" xfId="93"/>
    <cellStyle name="Comma 16 3 3" xfId="94"/>
    <cellStyle name="Comma 16 3 3 2" xfId="95"/>
    <cellStyle name="Comma 17" xfId="96"/>
    <cellStyle name="Comma 17 2" xfId="97"/>
    <cellStyle name="Comma 17 3" xfId="98"/>
    <cellStyle name="Comma 17 3 2" xfId="99"/>
    <cellStyle name="Comma 18" xfId="100"/>
    <cellStyle name="Comma 18 2" xfId="101"/>
    <cellStyle name="Comma 18 3" xfId="102"/>
    <cellStyle name="Comma 18 3 2" xfId="103"/>
    <cellStyle name="Comma 19" xfId="104"/>
    <cellStyle name="Comma 19 2" xfId="105"/>
    <cellStyle name="Comma 19 3" xfId="106"/>
    <cellStyle name="Comma 19 3 2" xfId="107"/>
    <cellStyle name="Comma 2" xfId="108"/>
    <cellStyle name="Comma 2 2" xfId="109"/>
    <cellStyle name="Comma 2 2 2" xfId="110"/>
    <cellStyle name="Comma 2 2 3" xfId="111"/>
    <cellStyle name="Comma 2 2 4" xfId="112"/>
    <cellStyle name="Comma 2 2 5" xfId="113"/>
    <cellStyle name="Comma 2 2 6" xfId="114"/>
    <cellStyle name="Comma 2 2 6 2" xfId="115"/>
    <cellStyle name="Comma 2 2 7" xfId="116"/>
    <cellStyle name="Comma 2 3" xfId="117"/>
    <cellStyle name="Comma 2 3 2" xfId="118"/>
    <cellStyle name="Comma 2 3 3" xfId="119"/>
    <cellStyle name="Comma 2 3 4" xfId="120"/>
    <cellStyle name="Comma 2 3 4 2" xfId="121"/>
    <cellStyle name="Comma 2 3 4 2 2" xfId="122"/>
    <cellStyle name="Comma 2 3 4 3" xfId="123"/>
    <cellStyle name="Comma 2 3 4 4" xfId="124"/>
    <cellStyle name="Comma 2 3 4 5" xfId="125"/>
    <cellStyle name="Comma 2 3 4 5 2" xfId="126"/>
    <cellStyle name="Comma 2 3 5" xfId="127"/>
    <cellStyle name="Comma 2 4" xfId="128"/>
    <cellStyle name="Comma 2 5" xfId="129"/>
    <cellStyle name="Comma 20" xfId="130"/>
    <cellStyle name="Comma 20 2" xfId="131"/>
    <cellStyle name="Comma 20 3" xfId="132"/>
    <cellStyle name="Comma 20 3 2" xfId="133"/>
    <cellStyle name="Comma 21" xfId="134"/>
    <cellStyle name="Comma 21 2" xfId="135"/>
    <cellStyle name="Comma 21 3" xfId="136"/>
    <cellStyle name="Comma 21 3 2" xfId="137"/>
    <cellStyle name="Comma 22" xfId="138"/>
    <cellStyle name="Comma 22 2" xfId="139"/>
    <cellStyle name="Comma 22 3" xfId="140"/>
    <cellStyle name="Comma 22 3 2" xfId="141"/>
    <cellStyle name="Comma 23" xfId="142"/>
    <cellStyle name="Comma 23 2" xfId="143"/>
    <cellStyle name="Comma 23 3" xfId="144"/>
    <cellStyle name="Comma 23 3 2" xfId="145"/>
    <cellStyle name="Comma 24" xfId="146"/>
    <cellStyle name="Comma 24 2" xfId="147"/>
    <cellStyle name="Comma 24 3" xfId="148"/>
    <cellStyle name="Comma 24 3 2" xfId="149"/>
    <cellStyle name="Comma 25" xfId="150"/>
    <cellStyle name="Comma 25 2" xfId="151"/>
    <cellStyle name="Comma 25 3" xfId="152"/>
    <cellStyle name="Comma 25 3 2" xfId="153"/>
    <cellStyle name="Comma 26" xfId="154"/>
    <cellStyle name="Comma 26 2" xfId="155"/>
    <cellStyle name="Comma 26 3" xfId="156"/>
    <cellStyle name="Comma 26 3 2" xfId="157"/>
    <cellStyle name="Comma 27" xfId="158"/>
    <cellStyle name="Comma 27 2" xfId="159"/>
    <cellStyle name="Comma 27 3" xfId="160"/>
    <cellStyle name="Comma 27 3 2" xfId="161"/>
    <cellStyle name="Comma 28" xfId="162"/>
    <cellStyle name="Comma 28 2" xfId="163"/>
    <cellStyle name="Comma 29" xfId="164"/>
    <cellStyle name="Comma 29 2" xfId="165"/>
    <cellStyle name="Comma 3" xfId="166"/>
    <cellStyle name="Comma 3 2" xfId="167"/>
    <cellStyle name="Comma 3 3" xfId="168"/>
    <cellStyle name="Comma 3 3 2" xfId="169"/>
    <cellStyle name="Comma 3 3 2 2" xfId="170"/>
    <cellStyle name="Comma 3 3 3" xfId="171"/>
    <cellStyle name="Comma 3 4" xfId="172"/>
    <cellStyle name="Comma 3 5" xfId="173"/>
    <cellStyle name="Comma 3 5 2" xfId="174"/>
    <cellStyle name="Comma 3 6" xfId="175"/>
    <cellStyle name="Comma 30" xfId="176"/>
    <cellStyle name="Comma 31" xfId="177"/>
    <cellStyle name="Comma 31 2" xfId="178"/>
    <cellStyle name="Comma 31 3" xfId="179"/>
    <cellStyle name="Comma 31 3 2" xfId="180"/>
    <cellStyle name="Comma 32" xfId="181"/>
    <cellStyle name="Comma 32 2" xfId="182"/>
    <cellStyle name="Comma 32 2 2" xfId="183"/>
    <cellStyle name="Comma 32 3" xfId="184"/>
    <cellStyle name="Comma 32 4" xfId="185"/>
    <cellStyle name="Comma 32 4 2" xfId="186"/>
    <cellStyle name="Comma 33" xfId="187"/>
    <cellStyle name="Comma 33 2" xfId="188"/>
    <cellStyle name="Comma 33 3" xfId="189"/>
    <cellStyle name="Comma 33 3 2" xfId="190"/>
    <cellStyle name="Comma 34" xfId="191"/>
    <cellStyle name="Comma 35" xfId="192"/>
    <cellStyle name="Comma 35 2" xfId="193"/>
    <cellStyle name="Comma 36" xfId="194"/>
    <cellStyle name="Comma 36 2" xfId="195"/>
    <cellStyle name="Comma 37" xfId="196"/>
    <cellStyle name="Comma 37 2" xfId="197"/>
    <cellStyle name="Comma 38" xfId="198"/>
    <cellStyle name="Comma 38 2" xfId="199"/>
    <cellStyle name="Comma 39" xfId="200"/>
    <cellStyle name="Comma 39 2" xfId="201"/>
    <cellStyle name="Comma 4" xfId="202"/>
    <cellStyle name="Comma 4 2" xfId="203"/>
    <cellStyle name="Comma 4 3" xfId="204"/>
    <cellStyle name="Comma 4 4" xfId="205"/>
    <cellStyle name="Comma 4 5" xfId="206"/>
    <cellStyle name="Comma 40" xfId="207"/>
    <cellStyle name="Comma 41" xfId="815"/>
    <cellStyle name="Comma 42" xfId="829"/>
    <cellStyle name="Comma 5" xfId="208"/>
    <cellStyle name="Comma 5 2" xfId="209"/>
    <cellStyle name="Comma 5 3" xfId="210"/>
    <cellStyle name="Comma 5 4" xfId="211"/>
    <cellStyle name="Comma 5 5" xfId="212"/>
    <cellStyle name="Comma 5 6" xfId="213"/>
    <cellStyle name="Comma 6" xfId="214"/>
    <cellStyle name="Comma 6 2" xfId="215"/>
    <cellStyle name="Comma 6 3" xfId="216"/>
    <cellStyle name="Comma 6 4" xfId="217"/>
    <cellStyle name="Comma 6 4 2" xfId="218"/>
    <cellStyle name="Comma 6 4 2 2" xfId="219"/>
    <cellStyle name="Comma 6 4 3" xfId="220"/>
    <cellStyle name="Comma 6 4 4" xfId="221"/>
    <cellStyle name="Comma 6 4 5" xfId="222"/>
    <cellStyle name="Comma 6 4 5 2" xfId="223"/>
    <cellStyle name="Comma 6 5" xfId="224"/>
    <cellStyle name="Comma 7" xfId="225"/>
    <cellStyle name="Comma 7 2" xfId="226"/>
    <cellStyle name="Comma 7 2 2" xfId="227"/>
    <cellStyle name="Comma 7 2 2 2" xfId="228"/>
    <cellStyle name="Comma 7 2 2 2 2" xfId="229"/>
    <cellStyle name="Comma 7 2 2 3" xfId="230"/>
    <cellStyle name="Comma 7 2 2 3 2" xfId="231"/>
    <cellStyle name="Comma 7 2 2 3 2 2" xfId="232"/>
    <cellStyle name="Comma 7 2 2 3 3" xfId="233"/>
    <cellStyle name="Comma 7 2 2 4" xfId="234"/>
    <cellStyle name="Comma 7 2 3" xfId="235"/>
    <cellStyle name="Comma 7 3" xfId="236"/>
    <cellStyle name="Comma 7 3 2" xfId="237"/>
    <cellStyle name="Comma 7 3 2 2" xfId="238"/>
    <cellStyle name="Comma 7 3 3" xfId="239"/>
    <cellStyle name="Comma 7 3 3 2" xfId="240"/>
    <cellStyle name="Comma 7 3 3 2 2" xfId="241"/>
    <cellStyle name="Comma 7 3 3 3" xfId="242"/>
    <cellStyle name="Comma 7 3 4" xfId="243"/>
    <cellStyle name="Comma 7 4" xfId="244"/>
    <cellStyle name="Comma 7 4 2" xfId="245"/>
    <cellStyle name="Comma 7 5" xfId="246"/>
    <cellStyle name="Comma 7 5 2" xfId="247"/>
    <cellStyle name="Comma 7 5 2 2" xfId="248"/>
    <cellStyle name="Comma 7 5 3" xfId="249"/>
    <cellStyle name="Comma 7 6" xfId="250"/>
    <cellStyle name="Comma 8" xfId="251"/>
    <cellStyle name="Comma 8 2" xfId="252"/>
    <cellStyle name="Comma 8 2 2" xfId="253"/>
    <cellStyle name="Comma 8 2 3" xfId="254"/>
    <cellStyle name="Comma 8 2 4" xfId="255"/>
    <cellStyle name="Comma 8 2 4 10" xfId="256"/>
    <cellStyle name="Comma 8 2 4 11" xfId="257"/>
    <cellStyle name="Comma 8 2 4 11 2" xfId="258"/>
    <cellStyle name="Comma 8 2 4 11 2 2" xfId="259"/>
    <cellStyle name="Comma 8 2 4 11 2 3" xfId="260"/>
    <cellStyle name="Comma 8 2 4 11 2 3 2" xfId="261"/>
    <cellStyle name="Comma 8 2 4 2" xfId="262"/>
    <cellStyle name="Comma 8 2 4 3" xfId="263"/>
    <cellStyle name="Comma 8 2 4 4" xfId="264"/>
    <cellStyle name="Comma 8 2 4 5" xfId="265"/>
    <cellStyle name="Comma 8 2 4 5 2" xfId="266"/>
    <cellStyle name="Comma 8 2 4 5 2 2" xfId="267"/>
    <cellStyle name="Comma 8 2 4 5 2 3" xfId="268"/>
    <cellStyle name="Comma 8 2 4 6" xfId="269"/>
    <cellStyle name="Comma 8 2 4 7" xfId="270"/>
    <cellStyle name="Comma 8 2 4 8" xfId="271"/>
    <cellStyle name="Comma 8 2 4 9" xfId="272"/>
    <cellStyle name="Comma 8 2 4 9 2" xfId="273"/>
    <cellStyle name="Comma 8 2 4 9 2 2" xfId="274"/>
    <cellStyle name="Comma 8 2 4 9 2 3" xfId="275"/>
    <cellStyle name="Comma 8 2 4 9 2 3 2" xfId="276"/>
    <cellStyle name="Comma 8 2 5" xfId="277"/>
    <cellStyle name="Comma 8 2 5 2" xfId="278"/>
    <cellStyle name="Comma 8 2 5 3" xfId="279"/>
    <cellStyle name="Comma 8 2 5 4" xfId="280"/>
    <cellStyle name="Comma 8 2 6" xfId="281"/>
    <cellStyle name="Comma 8 2 6 2" xfId="282"/>
    <cellStyle name="Comma 8 2 6 2 2" xfId="283"/>
    <cellStyle name="Comma 8 2 6 2 3" xfId="284"/>
    <cellStyle name="Comma 8 2 6 2 3 2" xfId="285"/>
    <cellStyle name="Comma 8 2 6 3" xfId="286"/>
    <cellStyle name="Comma 8 2 7" xfId="287"/>
    <cellStyle name="Comma 8 2 7 2" xfId="288"/>
    <cellStyle name="Comma 8 2 7 3" xfId="289"/>
    <cellStyle name="Comma 8 2 7 3 2" xfId="290"/>
    <cellStyle name="Comma 8 2 8" xfId="291"/>
    <cellStyle name="Comma 8 2 9" xfId="292"/>
    <cellStyle name="Comma 8 2 9 2" xfId="293"/>
    <cellStyle name="Comma 8 3" xfId="294"/>
    <cellStyle name="Comma 8 4" xfId="295"/>
    <cellStyle name="Comma 8 5" xfId="296"/>
    <cellStyle name="Comma 8 5 2" xfId="297"/>
    <cellStyle name="Comma 8 6" xfId="298"/>
    <cellStyle name="Comma 8 6 2" xfId="299"/>
    <cellStyle name="Comma 9" xfId="300"/>
    <cellStyle name="Comma 9 2" xfId="301"/>
    <cellStyle name="Comma 9 2 2" xfId="302"/>
    <cellStyle name="Comma 9 2 3" xfId="303"/>
    <cellStyle name="Comma 9 2 3 2" xfId="304"/>
    <cellStyle name="Comma 9 2 3 3" xfId="305"/>
    <cellStyle name="Comma 9 2 3 4" xfId="306"/>
    <cellStyle name="Comma 9 2 4" xfId="307"/>
    <cellStyle name="Comma 9 2 4 2" xfId="308"/>
    <cellStyle name="Comma 9 2 4 2 2" xfId="309"/>
    <cellStyle name="Comma 9 2 4 2 3" xfId="310"/>
    <cellStyle name="Comma 9 2 4 2 3 2" xfId="311"/>
    <cellStyle name="Comma 9 2 4 3" xfId="312"/>
    <cellStyle name="Comma 9 2 5" xfId="313"/>
    <cellStyle name="Comma 9 2 5 2" xfId="314"/>
    <cellStyle name="Comma 9 2 5 3" xfId="315"/>
    <cellStyle name="Comma 9 2 5 3 2" xfId="316"/>
    <cellStyle name="Comma 9 2 6" xfId="317"/>
    <cellStyle name="Comma 9 2 7" xfId="318"/>
    <cellStyle name="Comma 9 2 7 2" xfId="319"/>
    <cellStyle name="Comma 9 3" xfId="320"/>
    <cellStyle name="Comma 9 4" xfId="321"/>
    <cellStyle name="Comma 9 5" xfId="322"/>
    <cellStyle name="Comma 9 6" xfId="323"/>
    <cellStyle name="Comma 9 6 10" xfId="324"/>
    <cellStyle name="Comma 9 6 11" xfId="325"/>
    <cellStyle name="Comma 9 6 11 2" xfId="326"/>
    <cellStyle name="Comma 9 6 11 2 2" xfId="327"/>
    <cellStyle name="Comma 9 6 11 2 3" xfId="328"/>
    <cellStyle name="Comma 9 6 11 2 3 2" xfId="329"/>
    <cellStyle name="Comma 9 6 2" xfId="330"/>
    <cellStyle name="Comma 9 6 3" xfId="331"/>
    <cellStyle name="Comma 9 6 4" xfId="332"/>
    <cellStyle name="Comma 9 6 5" xfId="333"/>
    <cellStyle name="Comma 9 6 5 2" xfId="334"/>
    <cellStyle name="Comma 9 6 5 2 2" xfId="335"/>
    <cellStyle name="Comma 9 6 5 2 3" xfId="336"/>
    <cellStyle name="Comma 9 6 6" xfId="337"/>
    <cellStyle name="Comma 9 6 7" xfId="338"/>
    <cellStyle name="Comma 9 6 8" xfId="339"/>
    <cellStyle name="Comma 9 6 9" xfId="340"/>
    <cellStyle name="Comma 9 6 9 2" xfId="341"/>
    <cellStyle name="Comma 9 6 9 2 2" xfId="342"/>
    <cellStyle name="Comma 9 6 9 2 3" xfId="343"/>
    <cellStyle name="Comma 9 6 9 2 3 2" xfId="344"/>
    <cellStyle name="Currency" xfId="1" builtinId="4"/>
    <cellStyle name="Currency 10" xfId="345"/>
    <cellStyle name="Currency 11" xfId="816"/>
    <cellStyle name="Currency 2" xfId="346"/>
    <cellStyle name="Currency 2 2" xfId="811"/>
    <cellStyle name="Currency 3" xfId="3"/>
    <cellStyle name="Currency 3 2" xfId="347"/>
    <cellStyle name="Currency 3 2 2" xfId="348"/>
    <cellStyle name="Currency 3 3" xfId="349"/>
    <cellStyle name="Currency 4" xfId="350"/>
    <cellStyle name="Currency 4 2" xfId="351"/>
    <cellStyle name="Currency 4 3" xfId="352"/>
    <cellStyle name="Currency 4 3 2" xfId="353"/>
    <cellStyle name="Currency 5" xfId="354"/>
    <cellStyle name="Currency 5 2" xfId="355"/>
    <cellStyle name="Currency 5 3" xfId="356"/>
    <cellStyle name="Currency 5 3 2" xfId="357"/>
    <cellStyle name="Currency 6" xfId="358"/>
    <cellStyle name="Currency 7" xfId="359"/>
    <cellStyle name="Currency 7 2" xfId="360"/>
    <cellStyle name="Currency 8" xfId="361"/>
    <cellStyle name="Currency 8 2" xfId="362"/>
    <cellStyle name="Currency 9" xfId="363"/>
    <cellStyle name="Currency 9 2" xfId="364"/>
    <cellStyle name="Normal" xfId="0" builtinId="0"/>
    <cellStyle name="Normal 10" xfId="365"/>
    <cellStyle name="Normal 10 2" xfId="366"/>
    <cellStyle name="Normal 105" xfId="808"/>
    <cellStyle name="Normal 11" xfId="367"/>
    <cellStyle name="Normal 11 2" xfId="368"/>
    <cellStyle name="Normal 111" xfId="810"/>
    <cellStyle name="Normal 12" xfId="369"/>
    <cellStyle name="Normal 12 2" xfId="370"/>
    <cellStyle name="Normal 121" xfId="812"/>
    <cellStyle name="Normal 13" xfId="371"/>
    <cellStyle name="Normal 13 2" xfId="372"/>
    <cellStyle name="Normal 14" xfId="373"/>
    <cellStyle name="Normal 14 2" xfId="374"/>
    <cellStyle name="Normal 15" xfId="375"/>
    <cellStyle name="Normal 15 2" xfId="813"/>
    <cellStyle name="Normal 16" xfId="376"/>
    <cellStyle name="Normal 17" xfId="814"/>
    <cellStyle name="Normal 18" xfId="830"/>
    <cellStyle name="Normal 19" xfId="827"/>
    <cellStyle name="Normal 2" xfId="377"/>
    <cellStyle name="Normal 2 2" xfId="378"/>
    <cellStyle name="Normal 2 2 2" xfId="379"/>
    <cellStyle name="Normal 2 2 3" xfId="380"/>
    <cellStyle name="Normal 2 2 4" xfId="381"/>
    <cellStyle name="Normal 2 2 4 2" xfId="382"/>
    <cellStyle name="Normal 2 2 4 2 2" xfId="383"/>
    <cellStyle name="Normal 2 2 4 3" xfId="384"/>
    <cellStyle name="Normal 2 2 4 4" xfId="385"/>
    <cellStyle name="Normal 2 2 4 5" xfId="386"/>
    <cellStyle name="Normal 2 2 4 5 2" xfId="387"/>
    <cellStyle name="Normal 2 2 5" xfId="388"/>
    <cellStyle name="Normal 2 2 6" xfId="389"/>
    <cellStyle name="Normal 2 2 6 2" xfId="390"/>
    <cellStyle name="Normal 2 2 6 2 2" xfId="391"/>
    <cellStyle name="Normal 2 2 6 3" xfId="392"/>
    <cellStyle name="Normal 2 3" xfId="393"/>
    <cellStyle name="Normal 2 3 2" xfId="394"/>
    <cellStyle name="Normal 2 3 2 2" xfId="395"/>
    <cellStyle name="Normal 2 3 3" xfId="396"/>
    <cellStyle name="Normal 2 4" xfId="397"/>
    <cellStyle name="Normal 2 5" xfId="817"/>
    <cellStyle name="Normal 3" xfId="398"/>
    <cellStyle name="Normal 3 2" xfId="399"/>
    <cellStyle name="Normal 3 2 2" xfId="400"/>
    <cellStyle name="Normal 3 3" xfId="401"/>
    <cellStyle name="Normal 3 3 2" xfId="402"/>
    <cellStyle name="Normal 3 4" xfId="403"/>
    <cellStyle name="Normal 3 4 2" xfId="404"/>
    <cellStyle name="Normal 3 4 2 2" xfId="405"/>
    <cellStyle name="Normal 3 4 3" xfId="406"/>
    <cellStyle name="Normal 3 5" xfId="818"/>
    <cellStyle name="Normal 4" xfId="2"/>
    <cellStyle name="Normal 4 2" xfId="407"/>
    <cellStyle name="Normal 4 3" xfId="408"/>
    <cellStyle name="Normal 4 3 2" xfId="409"/>
    <cellStyle name="Normal 4 3 2 2" xfId="410"/>
    <cellStyle name="Normal 4 3 2 2 2" xfId="411"/>
    <cellStyle name="Normal 4 3 2 3" xfId="412"/>
    <cellStyle name="Normal 4 3 3" xfId="413"/>
    <cellStyle name="Normal 4 4" xfId="414"/>
    <cellStyle name="Normal 4 4 2" xfId="415"/>
    <cellStyle name="Normal 4 4 3" xfId="819"/>
    <cellStyle name="Normal 4 5" xfId="416"/>
    <cellStyle name="Normal 5" xfId="417"/>
    <cellStyle name="Normal 5 2" xfId="418"/>
    <cellStyle name="Normal 5 2 2" xfId="419"/>
    <cellStyle name="Normal 5 2 3" xfId="420"/>
    <cellStyle name="Normal 5 2 3 2" xfId="421"/>
    <cellStyle name="Normal 5 3" xfId="422"/>
    <cellStyle name="Normal 5 4" xfId="423"/>
    <cellStyle name="Normal 6" xfId="424"/>
    <cellStyle name="Normal 6 2" xfId="425"/>
    <cellStyle name="Normal 7" xfId="426"/>
    <cellStyle name="Normal 7 2" xfId="427"/>
    <cellStyle name="Normal 7 3" xfId="428"/>
    <cellStyle name="Normal 7 3 2" xfId="429"/>
    <cellStyle name="Normal 7 4" xfId="809"/>
    <cellStyle name="Normal 8" xfId="430"/>
    <cellStyle name="Normal 9" xfId="431"/>
    <cellStyle name="Normal 9 2" xfId="432"/>
    <cellStyle name="Percent 10" xfId="433"/>
    <cellStyle name="Percent 10 2" xfId="434"/>
    <cellStyle name="Percent 10 3" xfId="435"/>
    <cellStyle name="Percent 10 3 2" xfId="436"/>
    <cellStyle name="Percent 10 3 3" xfId="437"/>
    <cellStyle name="Percent 10 3 3 2" xfId="438"/>
    <cellStyle name="Percent 11" xfId="439"/>
    <cellStyle name="Percent 11 2" xfId="440"/>
    <cellStyle name="Percent 11 3" xfId="441"/>
    <cellStyle name="Percent 11 3 2" xfId="442"/>
    <cellStyle name="Percent 12" xfId="443"/>
    <cellStyle name="Percent 12 2" xfId="444"/>
    <cellStyle name="Percent 12 3" xfId="445"/>
    <cellStyle name="Percent 12 3 2" xfId="446"/>
    <cellStyle name="Percent 13" xfId="447"/>
    <cellStyle name="Percent 13 2" xfId="448"/>
    <cellStyle name="Percent 13 3" xfId="449"/>
    <cellStyle name="Percent 13 3 2" xfId="450"/>
    <cellStyle name="Percent 14" xfId="451"/>
    <cellStyle name="Percent 14 2" xfId="452"/>
    <cellStyle name="Percent 14 3" xfId="453"/>
    <cellStyle name="Percent 14 3 2" xfId="454"/>
    <cellStyle name="Percent 15" xfId="455"/>
    <cellStyle name="Percent 15 2" xfId="456"/>
    <cellStyle name="Percent 15 3" xfId="457"/>
    <cellStyle name="Percent 15 3 2" xfId="458"/>
    <cellStyle name="Percent 16" xfId="459"/>
    <cellStyle name="Percent 16 2" xfId="460"/>
    <cellStyle name="Percent 16 3" xfId="461"/>
    <cellStyle name="Percent 16 3 2" xfId="462"/>
    <cellStyle name="Percent 17" xfId="463"/>
    <cellStyle name="Percent 17 2" xfId="464"/>
    <cellStyle name="Percent 17 3" xfId="465"/>
    <cellStyle name="Percent 17 3 2" xfId="466"/>
    <cellStyle name="Percent 18" xfId="467"/>
    <cellStyle name="Percent 18 2" xfId="468"/>
    <cellStyle name="Percent 18 3" xfId="469"/>
    <cellStyle name="Percent 18 3 2" xfId="470"/>
    <cellStyle name="Percent 19" xfId="471"/>
    <cellStyle name="Percent 19 2" xfId="472"/>
    <cellStyle name="Percent 19 3" xfId="473"/>
    <cellStyle name="Percent 19 3 2" xfId="474"/>
    <cellStyle name="Percent 2" xfId="475"/>
    <cellStyle name="Percent 2 2" xfId="476"/>
    <cellStyle name="Percent 2 2 2" xfId="477"/>
    <cellStyle name="Percent 2 2 2 2" xfId="478"/>
    <cellStyle name="Percent 2 2 2 3" xfId="479"/>
    <cellStyle name="Percent 2 2 2 3 2" xfId="480"/>
    <cellStyle name="Percent 2 2 2 3 3" xfId="481"/>
    <cellStyle name="Percent 2 2 2 3 3 2" xfId="482"/>
    <cellStyle name="Percent 2 2 2 3 3 3" xfId="483"/>
    <cellStyle name="Percent 2 2 2 3 3 4" xfId="484"/>
    <cellStyle name="Percent 2 2 2 3 4" xfId="485"/>
    <cellStyle name="Percent 2 2 2 3 4 2" xfId="486"/>
    <cellStyle name="Percent 2 2 2 3 4 2 2" xfId="487"/>
    <cellStyle name="Percent 2 2 2 3 4 2 3" xfId="488"/>
    <cellStyle name="Percent 2 2 2 3 4 2 3 2" xfId="489"/>
    <cellStyle name="Percent 2 2 2 3 4 3" xfId="490"/>
    <cellStyle name="Percent 2 2 2 3 5" xfId="491"/>
    <cellStyle name="Percent 2 2 2 3 5 2" xfId="492"/>
    <cellStyle name="Percent 2 2 2 3 5 3" xfId="493"/>
    <cellStyle name="Percent 2 2 2 3 5 3 2" xfId="494"/>
    <cellStyle name="Percent 2 2 2 3 6" xfId="495"/>
    <cellStyle name="Percent 2 2 2 3 7" xfId="496"/>
    <cellStyle name="Percent 2 2 2 3 7 2" xfId="497"/>
    <cellStyle name="Percent 2 2 2 4" xfId="498"/>
    <cellStyle name="Percent 2 2 2 4 2" xfId="499"/>
    <cellStyle name="Percent 2 2 2 4 2 2" xfId="500"/>
    <cellStyle name="Percent 2 2 2 4 2 3" xfId="501"/>
    <cellStyle name="Percent 2 2 2 4 2 3 2" xfId="502"/>
    <cellStyle name="Percent 2 2 2 4 3" xfId="503"/>
    <cellStyle name="Percent 2 2 2 5" xfId="504"/>
    <cellStyle name="Percent 2 2 2 5 2" xfId="505"/>
    <cellStyle name="Percent 2 2 2 5 3" xfId="506"/>
    <cellStyle name="Percent 2 2 2 5 3 2" xfId="507"/>
    <cellStyle name="Percent 2 2 2 6" xfId="508"/>
    <cellStyle name="Percent 2 2 2 6 2" xfId="509"/>
    <cellStyle name="Percent 2 2 3" xfId="510"/>
    <cellStyle name="Percent 2 2 3 2" xfId="511"/>
    <cellStyle name="Percent 2 2 3 3" xfId="512"/>
    <cellStyle name="Percent 2 2 3 4" xfId="513"/>
    <cellStyle name="Percent 2 3" xfId="514"/>
    <cellStyle name="Percent 2 4" xfId="515"/>
    <cellStyle name="Percent 2 4 10" xfId="516"/>
    <cellStyle name="Percent 2 4 11" xfId="517"/>
    <cellStyle name="Percent 2 4 11 2" xfId="518"/>
    <cellStyle name="Percent 2 4 11 2 2" xfId="519"/>
    <cellStyle name="Percent 2 4 11 2 3" xfId="520"/>
    <cellStyle name="Percent 2 4 11 2 3 2" xfId="521"/>
    <cellStyle name="Percent 2 4 2" xfId="522"/>
    <cellStyle name="Percent 2 4 3" xfId="523"/>
    <cellStyle name="Percent 2 4 4" xfId="524"/>
    <cellStyle name="Percent 2 4 5" xfId="525"/>
    <cellStyle name="Percent 2 4 5 2" xfId="526"/>
    <cellStyle name="Percent 2 4 5 2 2" xfId="527"/>
    <cellStyle name="Percent 2 4 5 2 3" xfId="528"/>
    <cellStyle name="Percent 2 4 6" xfId="529"/>
    <cellStyle name="Percent 2 4 7" xfId="530"/>
    <cellStyle name="Percent 2 4 8" xfId="531"/>
    <cellStyle name="Percent 2 4 9" xfId="532"/>
    <cellStyle name="Percent 2 4 9 2" xfId="533"/>
    <cellStyle name="Percent 2 4 9 2 2" xfId="534"/>
    <cellStyle name="Percent 2 4 9 2 3" xfId="535"/>
    <cellStyle name="Percent 2 4 9 2 3 2" xfId="536"/>
    <cellStyle name="Percent 2 5" xfId="537"/>
    <cellStyle name="Percent 2 5 2" xfId="538"/>
    <cellStyle name="Percent 2 5 2 2" xfId="539"/>
    <cellStyle name="Percent 2 5 3" xfId="540"/>
    <cellStyle name="Percent 20" xfId="541"/>
    <cellStyle name="Percent 20 2" xfId="542"/>
    <cellStyle name="Percent 20 3" xfId="543"/>
    <cellStyle name="Percent 20 3 2" xfId="544"/>
    <cellStyle name="Percent 21" xfId="545"/>
    <cellStyle name="Percent 21 2" xfId="546"/>
    <cellStyle name="Percent 21 3" xfId="547"/>
    <cellStyle name="Percent 21 3 2" xfId="548"/>
    <cellStyle name="Percent 22" xfId="549"/>
    <cellStyle name="Percent 22 2" xfId="550"/>
    <cellStyle name="Percent 23" xfId="551"/>
    <cellStyle name="Percent 23 2" xfId="552"/>
    <cellStyle name="Percent 24" xfId="553"/>
    <cellStyle name="Percent 25" xfId="554"/>
    <cellStyle name="Percent 25 2" xfId="555"/>
    <cellStyle name="Percent 25 3" xfId="556"/>
    <cellStyle name="Percent 25 3 2" xfId="557"/>
    <cellStyle name="Percent 26" xfId="558"/>
    <cellStyle name="Percent 27" xfId="559"/>
    <cellStyle name="Percent 27 2" xfId="560"/>
    <cellStyle name="Percent 28" xfId="561"/>
    <cellStyle name="Percent 28 2" xfId="562"/>
    <cellStyle name="Percent 28 3" xfId="828"/>
    <cellStyle name="Percent 29" xfId="563"/>
    <cellStyle name="Percent 3" xfId="4"/>
    <cellStyle name="Percent 3 2" xfId="564"/>
    <cellStyle name="Percent 3 2 2" xfId="565"/>
    <cellStyle name="Percent 3 2 3" xfId="566"/>
    <cellStyle name="Percent 3 2 3 2" xfId="567"/>
    <cellStyle name="Percent 3 2 3 3" xfId="568"/>
    <cellStyle name="Percent 3 2 3 4" xfId="569"/>
    <cellStyle name="Percent 3 2 4" xfId="570"/>
    <cellStyle name="Percent 3 2 4 2" xfId="571"/>
    <cellStyle name="Percent 3 2 4 2 2" xfId="572"/>
    <cellStyle name="Percent 3 2 4 2 3" xfId="573"/>
    <cellStyle name="Percent 3 2 4 2 3 2" xfId="574"/>
    <cellStyle name="Percent 3 2 4 3" xfId="575"/>
    <cellStyle name="Percent 3 2 5" xfId="576"/>
    <cellStyle name="Percent 3 2 5 2" xfId="577"/>
    <cellStyle name="Percent 3 2 5 3" xfId="578"/>
    <cellStyle name="Percent 3 2 5 3 2" xfId="579"/>
    <cellStyle name="Percent 3 2 6" xfId="580"/>
    <cellStyle name="Percent 3 2 7" xfId="581"/>
    <cellStyle name="Percent 3 2 7 2" xfId="582"/>
    <cellStyle name="Percent 3 3" xfId="583"/>
    <cellStyle name="Percent 3 4" xfId="584"/>
    <cellStyle name="Percent 3 5" xfId="585"/>
    <cellStyle name="Percent 3 5 2" xfId="586"/>
    <cellStyle name="Percent 3 5 3" xfId="587"/>
    <cellStyle name="Percent 3 5 4" xfId="588"/>
    <cellStyle name="Percent 3 6" xfId="589"/>
    <cellStyle name="Percent 3 6 2" xfId="590"/>
    <cellStyle name="Percent 3 7" xfId="591"/>
    <cellStyle name="Percent 30" xfId="820"/>
    <cellStyle name="Percent 4" xfId="592"/>
    <cellStyle name="Percent 4 2" xfId="593"/>
    <cellStyle name="Percent 4 3" xfId="594"/>
    <cellStyle name="Percent 4 3 2" xfId="595"/>
    <cellStyle name="Percent 4 3 3" xfId="596"/>
    <cellStyle name="Percent 4 3 4" xfId="597"/>
    <cellStyle name="Percent 4 4" xfId="598"/>
    <cellStyle name="Percent 4 4 2" xfId="599"/>
    <cellStyle name="Percent 4 4 2 2" xfId="600"/>
    <cellStyle name="Percent 4 4 2 3" xfId="601"/>
    <cellStyle name="Percent 4 4 2 3 2" xfId="602"/>
    <cellStyle name="Percent 4 4 3" xfId="603"/>
    <cellStyle name="Percent 4 5" xfId="604"/>
    <cellStyle name="Percent 4 5 2" xfId="605"/>
    <cellStyle name="Percent 4 5 3" xfId="606"/>
    <cellStyle name="Percent 4 5 3 2" xfId="607"/>
    <cellStyle name="Percent 4 6" xfId="608"/>
    <cellStyle name="Percent 4 7" xfId="609"/>
    <cellStyle name="Percent 4 7 2" xfId="610"/>
    <cellStyle name="Percent 5" xfId="611"/>
    <cellStyle name="Percent 5 2" xfId="612"/>
    <cellStyle name="Percent 5 3" xfId="613"/>
    <cellStyle name="Percent 5 3 2" xfId="614"/>
    <cellStyle name="Percent 5 3 3" xfId="615"/>
    <cellStyle name="Percent 5 4" xfId="616"/>
    <cellStyle name="Percent 5 4 2" xfId="617"/>
    <cellStyle name="Percent 5 4 3" xfId="618"/>
    <cellStyle name="Percent 5 4 4" xfId="619"/>
    <cellStyle name="Percent 5 5" xfId="620"/>
    <cellStyle name="Percent 5 5 2" xfId="621"/>
    <cellStyle name="Percent 5 5 2 2" xfId="622"/>
    <cellStyle name="Percent 5 5 2 3" xfId="623"/>
    <cellStyle name="Percent 5 5 2 3 2" xfId="624"/>
    <cellStyle name="Percent 5 5 3" xfId="625"/>
    <cellStyle name="Percent 5 6" xfId="626"/>
    <cellStyle name="Percent 5 6 2" xfId="627"/>
    <cellStyle name="Percent 5 6 3" xfId="628"/>
    <cellStyle name="Percent 5 6 3 2" xfId="629"/>
    <cellStyle name="Percent 5 7" xfId="630"/>
    <cellStyle name="Percent 5 8" xfId="631"/>
    <cellStyle name="Percent 5 8 2" xfId="632"/>
    <cellStyle name="Percent 5 9" xfId="633"/>
    <cellStyle name="Percent 5 9 2" xfId="634"/>
    <cellStyle name="Percent 5 9 3" xfId="635"/>
    <cellStyle name="Percent 5 9 3 2" xfId="636"/>
    <cellStyle name="Percent 6" xfId="637"/>
    <cellStyle name="Percent 6 10" xfId="638"/>
    <cellStyle name="Percent 6 11" xfId="639"/>
    <cellStyle name="Percent 6 11 2" xfId="640"/>
    <cellStyle name="Percent 6 11 2 2" xfId="641"/>
    <cellStyle name="Percent 6 11 2 3" xfId="642"/>
    <cellStyle name="Percent 6 11 2 3 2" xfId="643"/>
    <cellStyle name="Percent 6 12" xfId="644"/>
    <cellStyle name="Percent 6 13" xfId="645"/>
    <cellStyle name="Percent 6 13 2" xfId="646"/>
    <cellStyle name="Percent 6 13 2 2" xfId="647"/>
    <cellStyle name="Percent 6 13 2 3" xfId="648"/>
    <cellStyle name="Percent 6 13 2 3 2" xfId="649"/>
    <cellStyle name="Percent 6 14" xfId="650"/>
    <cellStyle name="Percent 6 14 2" xfId="651"/>
    <cellStyle name="Percent 6 15" xfId="652"/>
    <cellStyle name="Percent 6 16" xfId="653"/>
    <cellStyle name="Percent 6 16 2" xfId="654"/>
    <cellStyle name="Percent 6 2" xfId="655"/>
    <cellStyle name="Percent 6 3" xfId="656"/>
    <cellStyle name="Percent 6 4" xfId="657"/>
    <cellStyle name="Percent 6 5" xfId="658"/>
    <cellStyle name="Percent 6 6" xfId="659"/>
    <cellStyle name="Percent 6 7" xfId="660"/>
    <cellStyle name="Percent 6 7 2" xfId="661"/>
    <cellStyle name="Percent 6 7 2 2" xfId="662"/>
    <cellStyle name="Percent 6 7 2 3" xfId="663"/>
    <cellStyle name="Percent 6 8" xfId="664"/>
    <cellStyle name="Percent 6 9" xfId="665"/>
    <cellStyle name="Percent 7" xfId="666"/>
    <cellStyle name="Percent 7 10" xfId="667"/>
    <cellStyle name="Percent 7 11" xfId="668"/>
    <cellStyle name="Percent 7 11 2" xfId="669"/>
    <cellStyle name="Percent 7 11 2 2" xfId="670"/>
    <cellStyle name="Percent 7 11 2 3" xfId="671"/>
    <cellStyle name="Percent 7 11 2 3 2" xfId="672"/>
    <cellStyle name="Percent 7 12" xfId="673"/>
    <cellStyle name="Percent 7 12 2" xfId="674"/>
    <cellStyle name="Percent 7 13" xfId="675"/>
    <cellStyle name="Percent 7 14" xfId="676"/>
    <cellStyle name="Percent 7 14 2" xfId="677"/>
    <cellStyle name="Percent 7 2" xfId="678"/>
    <cellStyle name="Percent 7 3" xfId="679"/>
    <cellStyle name="Percent 7 4" xfId="680"/>
    <cellStyle name="Percent 7 5" xfId="681"/>
    <cellStyle name="Percent 7 5 2" xfId="682"/>
    <cellStyle name="Percent 7 5 2 2" xfId="683"/>
    <cellStyle name="Percent 7 5 2 3" xfId="684"/>
    <cellStyle name="Percent 7 5 2 4" xfId="685"/>
    <cellStyle name="Percent 7 6" xfId="686"/>
    <cellStyle name="Percent 7 7" xfId="687"/>
    <cellStyle name="Percent 7 8" xfId="688"/>
    <cellStyle name="Percent 7 9" xfId="689"/>
    <cellStyle name="Percent 7 9 2" xfId="690"/>
    <cellStyle name="Percent 7 9 2 2" xfId="691"/>
    <cellStyle name="Percent 7 9 2 3" xfId="692"/>
    <cellStyle name="Percent 7 9 2 3 2" xfId="693"/>
    <cellStyle name="Percent 8" xfId="694"/>
    <cellStyle name="Percent 8 2" xfId="695"/>
    <cellStyle name="Percent 8 3" xfId="696"/>
    <cellStyle name="Percent 8 4" xfId="697"/>
    <cellStyle name="Percent 8 5" xfId="698"/>
    <cellStyle name="Percent 9" xfId="699"/>
    <cellStyle name="Percent 9 2" xfId="700"/>
    <cellStyle name="Percent 9 3" xfId="701"/>
    <cellStyle name="Percent 9 4" xfId="702"/>
    <cellStyle name="Percent 9 5" xfId="703"/>
    <cellStyle name="PSChar" xfId="704"/>
    <cellStyle name="PSChar 10" xfId="826"/>
    <cellStyle name="PSChar 2" xfId="705"/>
    <cellStyle name="PSChar 2 2" xfId="706"/>
    <cellStyle name="PSChar 2 2 2" xfId="707"/>
    <cellStyle name="PSChar 3" xfId="708"/>
    <cellStyle name="PSChar 3 2" xfId="709"/>
    <cellStyle name="PSChar 4" xfId="710"/>
    <cellStyle name="PSChar 4 2" xfId="711"/>
    <cellStyle name="PSChar 5" xfId="712"/>
    <cellStyle name="PSChar 5 2" xfId="713"/>
    <cellStyle name="PSChar 5 3" xfId="714"/>
    <cellStyle name="PSChar 5 3 2" xfId="715"/>
    <cellStyle name="PSChar 6" xfId="716"/>
    <cellStyle name="PSChar 6 2" xfId="717"/>
    <cellStyle name="PSChar 7" xfId="718"/>
    <cellStyle name="PSChar 8" xfId="719"/>
    <cellStyle name="PSChar 8 2" xfId="720"/>
    <cellStyle name="PSChar 9" xfId="721"/>
    <cellStyle name="PSChar 9 2" xfId="722"/>
    <cellStyle name="PSDate" xfId="723"/>
    <cellStyle name="PSDate 2" xfId="724"/>
    <cellStyle name="PSDate 2 2" xfId="725"/>
    <cellStyle name="PSDate 2 2 2" xfId="726"/>
    <cellStyle name="PSDate 3" xfId="727"/>
    <cellStyle name="PSDate 3 2" xfId="728"/>
    <cellStyle name="PSDate 4" xfId="729"/>
    <cellStyle name="PSDate 4 2" xfId="730"/>
    <cellStyle name="PSDate 5" xfId="731"/>
    <cellStyle name="PSDate 5 2" xfId="732"/>
    <cellStyle name="PSDate 5 3" xfId="733"/>
    <cellStyle name="PSDate 5 3 2" xfId="734"/>
    <cellStyle name="PSDate 6" xfId="735"/>
    <cellStyle name="PSDate 6 2" xfId="736"/>
    <cellStyle name="PSDate 7" xfId="737"/>
    <cellStyle name="PSDate 8" xfId="738"/>
    <cellStyle name="PSDate 8 2" xfId="739"/>
    <cellStyle name="PSDate 9" xfId="825"/>
    <cellStyle name="PSDec" xfId="740"/>
    <cellStyle name="PSDec 10" xfId="824"/>
    <cellStyle name="PSDec 2" xfId="741"/>
    <cellStyle name="PSDec 2 2" xfId="742"/>
    <cellStyle name="PSDec 2 2 2" xfId="743"/>
    <cellStyle name="PSDec 3" xfId="744"/>
    <cellStyle name="PSDec 3 2" xfId="745"/>
    <cellStyle name="PSDec 4" xfId="746"/>
    <cellStyle name="PSDec 4 2" xfId="747"/>
    <cellStyle name="PSDec 5" xfId="748"/>
    <cellStyle name="PSDec 5 2" xfId="749"/>
    <cellStyle name="PSDec 5 3" xfId="750"/>
    <cellStyle name="PSDec 5 3 2" xfId="751"/>
    <cellStyle name="PSDec 6" xfId="752"/>
    <cellStyle name="PSDec 6 2" xfId="753"/>
    <cellStyle name="PSDec 7" xfId="754"/>
    <cellStyle name="PSDec 8" xfId="755"/>
    <cellStyle name="PSDec 8 2" xfId="756"/>
    <cellStyle name="PSDec 9" xfId="757"/>
    <cellStyle name="PSDec 9 2" xfId="758"/>
    <cellStyle name="PSHeading" xfId="759"/>
    <cellStyle name="PSHeading 2" xfId="760"/>
    <cellStyle name="PSHeading 2 2" xfId="761"/>
    <cellStyle name="PSHeading 2 2 2" xfId="762"/>
    <cellStyle name="PSHeading 2 2 3" xfId="763"/>
    <cellStyle name="PSHeading 2 2 3 2" xfId="764"/>
    <cellStyle name="PSHeading 3" xfId="765"/>
    <cellStyle name="PSHeading 3 2" xfId="766"/>
    <cellStyle name="PSHeading 3 3" xfId="767"/>
    <cellStyle name="PSHeading 3 3 2" xfId="768"/>
    <cellStyle name="PSHeading 4" xfId="769"/>
    <cellStyle name="PSHeading 4 2" xfId="770"/>
    <cellStyle name="PSHeading 5" xfId="771"/>
    <cellStyle name="PSHeading 5 2" xfId="772"/>
    <cellStyle name="PSHeading 6" xfId="823"/>
    <cellStyle name="PSInt" xfId="773"/>
    <cellStyle name="PSInt 10" xfId="822"/>
    <cellStyle name="PSInt 2" xfId="774"/>
    <cellStyle name="PSInt 2 2" xfId="775"/>
    <cellStyle name="PSInt 2 2 2" xfId="776"/>
    <cellStyle name="PSInt 3" xfId="777"/>
    <cellStyle name="PSInt 3 2" xfId="778"/>
    <cellStyle name="PSInt 4" xfId="779"/>
    <cellStyle name="PSInt 4 2" xfId="780"/>
    <cellStyle name="PSInt 5" xfId="781"/>
    <cellStyle name="PSInt 5 2" xfId="782"/>
    <cellStyle name="PSInt 5 3" xfId="783"/>
    <cellStyle name="PSInt 5 3 2" xfId="784"/>
    <cellStyle name="PSInt 6" xfId="785"/>
    <cellStyle name="PSInt 6 2" xfId="786"/>
    <cellStyle name="PSInt 7" xfId="787"/>
    <cellStyle name="PSInt 8" xfId="788"/>
    <cellStyle name="PSInt 8 2" xfId="789"/>
    <cellStyle name="PSInt 9" xfId="790"/>
    <cellStyle name="PSInt 9 2" xfId="791"/>
    <cellStyle name="PSSpacer" xfId="792"/>
    <cellStyle name="PSSpacer 2" xfId="793"/>
    <cellStyle name="PSSpacer 2 2" xfId="794"/>
    <cellStyle name="PSSpacer 3" xfId="795"/>
    <cellStyle name="PSSpacer 3 2" xfId="796"/>
    <cellStyle name="PSSpacer 4" xfId="797"/>
    <cellStyle name="PSSpacer 4 2" xfId="798"/>
    <cellStyle name="PSSpacer 5" xfId="799"/>
    <cellStyle name="PSSpacer 5 2" xfId="800"/>
    <cellStyle name="PSSpacer 5 3" xfId="801"/>
    <cellStyle name="PSSpacer 5 3 2" xfId="802"/>
    <cellStyle name="PSSpacer 6" xfId="803"/>
    <cellStyle name="PSSpacer 6 2" xfId="804"/>
    <cellStyle name="PSSpacer 7" xfId="805"/>
    <cellStyle name="PSSpacer 8" xfId="806"/>
    <cellStyle name="PSSpacer 8 2" xfId="807"/>
    <cellStyle name="PSSpacer 9" xfId="8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Regulatory%20Services/2014%20Compliance%20Plan/Mitchell%20Plant%20Environmental%20at%20201312,%20used%20for%20BRR--Updated%20with%202014%20projec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Regulatory%20Services/Amy%20Elliott/2017%20Environmental%20Compliance%20Plan/Base%20Revenue%20Calcul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KY%20Rate%20Case/Settlement%20Agreement%20Documents/Exhibit%20AJE-1%20Revised%20for%20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 - 3 (2)"/>
      <sheetName val="AJE - 3"/>
      <sheetName val="Environmental"/>
      <sheetName val="IS"/>
      <sheetName val="Mitchell Retirements by Mth ADJ"/>
      <sheetName val="03 Remove FGD Expenses  "/>
      <sheetName val="05 Revenue Adjustment"/>
      <sheetName val="Rockport"/>
      <sheetName val="Non-FGD"/>
      <sheetName val="FGD"/>
      <sheetName val="Property Tax"/>
      <sheetName val="Rate Base Adjustment"/>
      <sheetName val="Allocation Factors"/>
      <sheetName val="Query"/>
      <sheetName val="403 &amp; 408 quer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S31"/>
  <sheetViews>
    <sheetView tabSelected="1" view="pageBreakPreview" zoomScale="75" zoomScaleNormal="100" zoomScaleSheetLayoutView="75" workbookViewId="0">
      <selection activeCell="O26" sqref="O26"/>
    </sheetView>
  </sheetViews>
  <sheetFormatPr defaultRowHeight="13.2" x14ac:dyDescent="0.25"/>
  <cols>
    <col min="1" max="1" width="3.6640625" style="119" customWidth="1"/>
    <col min="2" max="2" width="1.6640625" style="119" customWidth="1"/>
    <col min="3" max="3" width="16.5546875" style="119" customWidth="1"/>
    <col min="4" max="4" width="13.88671875" style="119" customWidth="1"/>
    <col min="5" max="5" width="14.6640625" style="119" customWidth="1"/>
    <col min="6" max="6" width="11.33203125" style="119" customWidth="1"/>
    <col min="7" max="7" width="16.33203125" style="119" customWidth="1"/>
    <col min="8" max="8" width="7.88671875" style="119" customWidth="1"/>
    <col min="9" max="9" width="7.33203125" style="119" customWidth="1"/>
    <col min="10" max="10" width="13.88671875" style="119" customWidth="1"/>
    <col min="11" max="11" width="19.44140625" style="119" customWidth="1"/>
    <col min="12" max="12" width="11.33203125" style="119" customWidth="1"/>
    <col min="13" max="13" width="19.88671875" style="119" customWidth="1"/>
    <col min="14" max="14" width="8.88671875" style="119"/>
    <col min="15" max="15" width="13.88671875" style="119" customWidth="1"/>
    <col min="16" max="16" width="19.44140625" style="119" customWidth="1"/>
    <col min="17" max="17" width="11.33203125" style="119" customWidth="1"/>
    <col min="18" max="18" width="16.77734375" style="119" customWidth="1"/>
    <col min="19" max="249" width="8.88671875" style="119"/>
    <col min="250" max="250" width="3.6640625" style="119" customWidth="1"/>
    <col min="251" max="251" width="1.6640625" style="119" customWidth="1"/>
    <col min="252" max="252" width="16.5546875" style="119" customWidth="1"/>
    <col min="253" max="254" width="1.6640625" style="119" customWidth="1"/>
    <col min="255" max="255" width="13.5546875" style="119" customWidth="1"/>
    <col min="256" max="256" width="1.6640625" style="119" customWidth="1"/>
    <col min="257" max="257" width="19.109375" style="119" customWidth="1"/>
    <col min="258" max="258" width="1.6640625" style="119" customWidth="1"/>
    <col min="259" max="259" width="24.88671875" style="119" customWidth="1"/>
    <col min="260" max="260" width="13.88671875" style="119" customWidth="1"/>
    <col min="261" max="261" width="13.44140625" style="119" bestFit="1" customWidth="1"/>
    <col min="262" max="262" width="1.44140625" style="119" customWidth="1"/>
    <col min="263" max="263" width="13.44140625" style="119" bestFit="1" customWidth="1"/>
    <col min="264" max="505" width="8.88671875" style="119"/>
    <col min="506" max="506" width="3.6640625" style="119" customWidth="1"/>
    <col min="507" max="507" width="1.6640625" style="119" customWidth="1"/>
    <col min="508" max="508" width="16.5546875" style="119" customWidth="1"/>
    <col min="509" max="510" width="1.6640625" style="119" customWidth="1"/>
    <col min="511" max="511" width="13.5546875" style="119" customWidth="1"/>
    <col min="512" max="512" width="1.6640625" style="119" customWidth="1"/>
    <col min="513" max="513" width="19.109375" style="119" customWidth="1"/>
    <col min="514" max="514" width="1.6640625" style="119" customWidth="1"/>
    <col min="515" max="515" width="24.88671875" style="119" customWidth="1"/>
    <col min="516" max="516" width="13.88671875" style="119" customWidth="1"/>
    <col min="517" max="517" width="13.44140625" style="119" bestFit="1" customWidth="1"/>
    <col min="518" max="518" width="1.44140625" style="119" customWidth="1"/>
    <col min="519" max="519" width="13.44140625" style="119" bestFit="1" customWidth="1"/>
    <col min="520" max="761" width="8.88671875" style="119"/>
    <col min="762" max="762" width="3.6640625" style="119" customWidth="1"/>
    <col min="763" max="763" width="1.6640625" style="119" customWidth="1"/>
    <col min="764" max="764" width="16.5546875" style="119" customWidth="1"/>
    <col min="765" max="766" width="1.6640625" style="119" customWidth="1"/>
    <col min="767" max="767" width="13.5546875" style="119" customWidth="1"/>
    <col min="768" max="768" width="1.6640625" style="119" customWidth="1"/>
    <col min="769" max="769" width="19.109375" style="119" customWidth="1"/>
    <col min="770" max="770" width="1.6640625" style="119" customWidth="1"/>
    <col min="771" max="771" width="24.88671875" style="119" customWidth="1"/>
    <col min="772" max="772" width="13.88671875" style="119" customWidth="1"/>
    <col min="773" max="773" width="13.44140625" style="119" bestFit="1" customWidth="1"/>
    <col min="774" max="774" width="1.44140625" style="119" customWidth="1"/>
    <col min="775" max="775" width="13.44140625" style="119" bestFit="1" customWidth="1"/>
    <col min="776" max="1017" width="8.88671875" style="119"/>
    <col min="1018" max="1018" width="3.6640625" style="119" customWidth="1"/>
    <col min="1019" max="1019" width="1.6640625" style="119" customWidth="1"/>
    <col min="1020" max="1020" width="16.5546875" style="119" customWidth="1"/>
    <col min="1021" max="1022" width="1.6640625" style="119" customWidth="1"/>
    <col min="1023" max="1023" width="13.5546875" style="119" customWidth="1"/>
    <col min="1024" max="1024" width="1.6640625" style="119" customWidth="1"/>
    <col min="1025" max="1025" width="19.109375" style="119" customWidth="1"/>
    <col min="1026" max="1026" width="1.6640625" style="119" customWidth="1"/>
    <col min="1027" max="1027" width="24.88671875" style="119" customWidth="1"/>
    <col min="1028" max="1028" width="13.88671875" style="119" customWidth="1"/>
    <col min="1029" max="1029" width="13.44140625" style="119" bestFit="1" customWidth="1"/>
    <col min="1030" max="1030" width="1.44140625" style="119" customWidth="1"/>
    <col min="1031" max="1031" width="13.44140625" style="119" bestFit="1" customWidth="1"/>
    <col min="1032" max="1273" width="8.88671875" style="119"/>
    <col min="1274" max="1274" width="3.6640625" style="119" customWidth="1"/>
    <col min="1275" max="1275" width="1.6640625" style="119" customWidth="1"/>
    <col min="1276" max="1276" width="16.5546875" style="119" customWidth="1"/>
    <col min="1277" max="1278" width="1.6640625" style="119" customWidth="1"/>
    <col min="1279" max="1279" width="13.5546875" style="119" customWidth="1"/>
    <col min="1280" max="1280" width="1.6640625" style="119" customWidth="1"/>
    <col min="1281" max="1281" width="19.109375" style="119" customWidth="1"/>
    <col min="1282" max="1282" width="1.6640625" style="119" customWidth="1"/>
    <col min="1283" max="1283" width="24.88671875" style="119" customWidth="1"/>
    <col min="1284" max="1284" width="13.88671875" style="119" customWidth="1"/>
    <col min="1285" max="1285" width="13.44140625" style="119" bestFit="1" customWidth="1"/>
    <col min="1286" max="1286" width="1.44140625" style="119" customWidth="1"/>
    <col min="1287" max="1287" width="13.44140625" style="119" bestFit="1" customWidth="1"/>
    <col min="1288" max="1529" width="8.88671875" style="119"/>
    <col min="1530" max="1530" width="3.6640625" style="119" customWidth="1"/>
    <col min="1531" max="1531" width="1.6640625" style="119" customWidth="1"/>
    <col min="1532" max="1532" width="16.5546875" style="119" customWidth="1"/>
    <col min="1533" max="1534" width="1.6640625" style="119" customWidth="1"/>
    <col min="1535" max="1535" width="13.5546875" style="119" customWidth="1"/>
    <col min="1536" max="1536" width="1.6640625" style="119" customWidth="1"/>
    <col min="1537" max="1537" width="19.109375" style="119" customWidth="1"/>
    <col min="1538" max="1538" width="1.6640625" style="119" customWidth="1"/>
    <col min="1539" max="1539" width="24.88671875" style="119" customWidth="1"/>
    <col min="1540" max="1540" width="13.88671875" style="119" customWidth="1"/>
    <col min="1541" max="1541" width="13.44140625" style="119" bestFit="1" customWidth="1"/>
    <col min="1542" max="1542" width="1.44140625" style="119" customWidth="1"/>
    <col min="1543" max="1543" width="13.44140625" style="119" bestFit="1" customWidth="1"/>
    <col min="1544" max="1785" width="8.88671875" style="119"/>
    <col min="1786" max="1786" width="3.6640625" style="119" customWidth="1"/>
    <col min="1787" max="1787" width="1.6640625" style="119" customWidth="1"/>
    <col min="1788" max="1788" width="16.5546875" style="119" customWidth="1"/>
    <col min="1789" max="1790" width="1.6640625" style="119" customWidth="1"/>
    <col min="1791" max="1791" width="13.5546875" style="119" customWidth="1"/>
    <col min="1792" max="1792" width="1.6640625" style="119" customWidth="1"/>
    <col min="1793" max="1793" width="19.109375" style="119" customWidth="1"/>
    <col min="1794" max="1794" width="1.6640625" style="119" customWidth="1"/>
    <col min="1795" max="1795" width="24.88671875" style="119" customWidth="1"/>
    <col min="1796" max="1796" width="13.88671875" style="119" customWidth="1"/>
    <col min="1797" max="1797" width="13.44140625" style="119" bestFit="1" customWidth="1"/>
    <col min="1798" max="1798" width="1.44140625" style="119" customWidth="1"/>
    <col min="1799" max="1799" width="13.44140625" style="119" bestFit="1" customWidth="1"/>
    <col min="1800" max="2041" width="8.88671875" style="119"/>
    <col min="2042" max="2042" width="3.6640625" style="119" customWidth="1"/>
    <col min="2043" max="2043" width="1.6640625" style="119" customWidth="1"/>
    <col min="2044" max="2044" width="16.5546875" style="119" customWidth="1"/>
    <col min="2045" max="2046" width="1.6640625" style="119" customWidth="1"/>
    <col min="2047" max="2047" width="13.5546875" style="119" customWidth="1"/>
    <col min="2048" max="2048" width="1.6640625" style="119" customWidth="1"/>
    <col min="2049" max="2049" width="19.109375" style="119" customWidth="1"/>
    <col min="2050" max="2050" width="1.6640625" style="119" customWidth="1"/>
    <col min="2051" max="2051" width="24.88671875" style="119" customWidth="1"/>
    <col min="2052" max="2052" width="13.88671875" style="119" customWidth="1"/>
    <col min="2053" max="2053" width="13.44140625" style="119" bestFit="1" customWidth="1"/>
    <col min="2054" max="2054" width="1.44140625" style="119" customWidth="1"/>
    <col min="2055" max="2055" width="13.44140625" style="119" bestFit="1" customWidth="1"/>
    <col min="2056" max="2297" width="8.88671875" style="119"/>
    <col min="2298" max="2298" width="3.6640625" style="119" customWidth="1"/>
    <col min="2299" max="2299" width="1.6640625" style="119" customWidth="1"/>
    <col min="2300" max="2300" width="16.5546875" style="119" customWidth="1"/>
    <col min="2301" max="2302" width="1.6640625" style="119" customWidth="1"/>
    <col min="2303" max="2303" width="13.5546875" style="119" customWidth="1"/>
    <col min="2304" max="2304" width="1.6640625" style="119" customWidth="1"/>
    <col min="2305" max="2305" width="19.109375" style="119" customWidth="1"/>
    <col min="2306" max="2306" width="1.6640625" style="119" customWidth="1"/>
    <col min="2307" max="2307" width="24.88671875" style="119" customWidth="1"/>
    <col min="2308" max="2308" width="13.88671875" style="119" customWidth="1"/>
    <col min="2309" max="2309" width="13.44140625" style="119" bestFit="1" customWidth="1"/>
    <col min="2310" max="2310" width="1.44140625" style="119" customWidth="1"/>
    <col min="2311" max="2311" width="13.44140625" style="119" bestFit="1" customWidth="1"/>
    <col min="2312" max="2553" width="8.88671875" style="119"/>
    <col min="2554" max="2554" width="3.6640625" style="119" customWidth="1"/>
    <col min="2555" max="2555" width="1.6640625" style="119" customWidth="1"/>
    <col min="2556" max="2556" width="16.5546875" style="119" customWidth="1"/>
    <col min="2557" max="2558" width="1.6640625" style="119" customWidth="1"/>
    <col min="2559" max="2559" width="13.5546875" style="119" customWidth="1"/>
    <col min="2560" max="2560" width="1.6640625" style="119" customWidth="1"/>
    <col min="2561" max="2561" width="19.109375" style="119" customWidth="1"/>
    <col min="2562" max="2562" width="1.6640625" style="119" customWidth="1"/>
    <col min="2563" max="2563" width="24.88671875" style="119" customWidth="1"/>
    <col min="2564" max="2564" width="13.88671875" style="119" customWidth="1"/>
    <col min="2565" max="2565" width="13.44140625" style="119" bestFit="1" customWidth="1"/>
    <col min="2566" max="2566" width="1.44140625" style="119" customWidth="1"/>
    <col min="2567" max="2567" width="13.44140625" style="119" bestFit="1" customWidth="1"/>
    <col min="2568" max="2809" width="8.88671875" style="119"/>
    <col min="2810" max="2810" width="3.6640625" style="119" customWidth="1"/>
    <col min="2811" max="2811" width="1.6640625" style="119" customWidth="1"/>
    <col min="2812" max="2812" width="16.5546875" style="119" customWidth="1"/>
    <col min="2813" max="2814" width="1.6640625" style="119" customWidth="1"/>
    <col min="2815" max="2815" width="13.5546875" style="119" customWidth="1"/>
    <col min="2816" max="2816" width="1.6640625" style="119" customWidth="1"/>
    <col min="2817" max="2817" width="19.109375" style="119" customWidth="1"/>
    <col min="2818" max="2818" width="1.6640625" style="119" customWidth="1"/>
    <col min="2819" max="2819" width="24.88671875" style="119" customWidth="1"/>
    <col min="2820" max="2820" width="13.88671875" style="119" customWidth="1"/>
    <col min="2821" max="2821" width="13.44140625" style="119" bestFit="1" customWidth="1"/>
    <col min="2822" max="2822" width="1.44140625" style="119" customWidth="1"/>
    <col min="2823" max="2823" width="13.44140625" style="119" bestFit="1" customWidth="1"/>
    <col min="2824" max="3065" width="8.88671875" style="119"/>
    <col min="3066" max="3066" width="3.6640625" style="119" customWidth="1"/>
    <col min="3067" max="3067" width="1.6640625" style="119" customWidth="1"/>
    <col min="3068" max="3068" width="16.5546875" style="119" customWidth="1"/>
    <col min="3069" max="3070" width="1.6640625" style="119" customWidth="1"/>
    <col min="3071" max="3071" width="13.5546875" style="119" customWidth="1"/>
    <col min="3072" max="3072" width="1.6640625" style="119" customWidth="1"/>
    <col min="3073" max="3073" width="19.109375" style="119" customWidth="1"/>
    <col min="3074" max="3074" width="1.6640625" style="119" customWidth="1"/>
    <col min="3075" max="3075" width="24.88671875" style="119" customWidth="1"/>
    <col min="3076" max="3076" width="13.88671875" style="119" customWidth="1"/>
    <col min="3077" max="3077" width="13.44140625" style="119" bestFit="1" customWidth="1"/>
    <col min="3078" max="3078" width="1.44140625" style="119" customWidth="1"/>
    <col min="3079" max="3079" width="13.44140625" style="119" bestFit="1" customWidth="1"/>
    <col min="3080" max="3321" width="8.88671875" style="119"/>
    <col min="3322" max="3322" width="3.6640625" style="119" customWidth="1"/>
    <col min="3323" max="3323" width="1.6640625" style="119" customWidth="1"/>
    <col min="3324" max="3324" width="16.5546875" style="119" customWidth="1"/>
    <col min="3325" max="3326" width="1.6640625" style="119" customWidth="1"/>
    <col min="3327" max="3327" width="13.5546875" style="119" customWidth="1"/>
    <col min="3328" max="3328" width="1.6640625" style="119" customWidth="1"/>
    <col min="3329" max="3329" width="19.109375" style="119" customWidth="1"/>
    <col min="3330" max="3330" width="1.6640625" style="119" customWidth="1"/>
    <col min="3331" max="3331" width="24.88671875" style="119" customWidth="1"/>
    <col min="3332" max="3332" width="13.88671875" style="119" customWidth="1"/>
    <col min="3333" max="3333" width="13.44140625" style="119" bestFit="1" customWidth="1"/>
    <col min="3334" max="3334" width="1.44140625" style="119" customWidth="1"/>
    <col min="3335" max="3335" width="13.44140625" style="119" bestFit="1" customWidth="1"/>
    <col min="3336" max="3577" width="8.88671875" style="119"/>
    <col min="3578" max="3578" width="3.6640625" style="119" customWidth="1"/>
    <col min="3579" max="3579" width="1.6640625" style="119" customWidth="1"/>
    <col min="3580" max="3580" width="16.5546875" style="119" customWidth="1"/>
    <col min="3581" max="3582" width="1.6640625" style="119" customWidth="1"/>
    <col min="3583" max="3583" width="13.5546875" style="119" customWidth="1"/>
    <col min="3584" max="3584" width="1.6640625" style="119" customWidth="1"/>
    <col min="3585" max="3585" width="19.109375" style="119" customWidth="1"/>
    <col min="3586" max="3586" width="1.6640625" style="119" customWidth="1"/>
    <col min="3587" max="3587" width="24.88671875" style="119" customWidth="1"/>
    <col min="3588" max="3588" width="13.88671875" style="119" customWidth="1"/>
    <col min="3589" max="3589" width="13.44140625" style="119" bestFit="1" customWidth="1"/>
    <col min="3590" max="3590" width="1.44140625" style="119" customWidth="1"/>
    <col min="3591" max="3591" width="13.44140625" style="119" bestFit="1" customWidth="1"/>
    <col min="3592" max="3833" width="8.88671875" style="119"/>
    <col min="3834" max="3834" width="3.6640625" style="119" customWidth="1"/>
    <col min="3835" max="3835" width="1.6640625" style="119" customWidth="1"/>
    <col min="3836" max="3836" width="16.5546875" style="119" customWidth="1"/>
    <col min="3837" max="3838" width="1.6640625" style="119" customWidth="1"/>
    <col min="3839" max="3839" width="13.5546875" style="119" customWidth="1"/>
    <col min="3840" max="3840" width="1.6640625" style="119" customWidth="1"/>
    <col min="3841" max="3841" width="19.109375" style="119" customWidth="1"/>
    <col min="3842" max="3842" width="1.6640625" style="119" customWidth="1"/>
    <col min="3843" max="3843" width="24.88671875" style="119" customWidth="1"/>
    <col min="3844" max="3844" width="13.88671875" style="119" customWidth="1"/>
    <col min="3845" max="3845" width="13.44140625" style="119" bestFit="1" customWidth="1"/>
    <col min="3846" max="3846" width="1.44140625" style="119" customWidth="1"/>
    <col min="3847" max="3847" width="13.44140625" style="119" bestFit="1" customWidth="1"/>
    <col min="3848" max="4089" width="8.88671875" style="119"/>
    <col min="4090" max="4090" width="3.6640625" style="119" customWidth="1"/>
    <col min="4091" max="4091" width="1.6640625" style="119" customWidth="1"/>
    <col min="4092" max="4092" width="16.5546875" style="119" customWidth="1"/>
    <col min="4093" max="4094" width="1.6640625" style="119" customWidth="1"/>
    <col min="4095" max="4095" width="13.5546875" style="119" customWidth="1"/>
    <col min="4096" max="4096" width="1.6640625" style="119" customWidth="1"/>
    <col min="4097" max="4097" width="19.109375" style="119" customWidth="1"/>
    <col min="4098" max="4098" width="1.6640625" style="119" customWidth="1"/>
    <col min="4099" max="4099" width="24.88671875" style="119" customWidth="1"/>
    <col min="4100" max="4100" width="13.88671875" style="119" customWidth="1"/>
    <col min="4101" max="4101" width="13.44140625" style="119" bestFit="1" customWidth="1"/>
    <col min="4102" max="4102" width="1.44140625" style="119" customWidth="1"/>
    <col min="4103" max="4103" width="13.44140625" style="119" bestFit="1" customWidth="1"/>
    <col min="4104" max="4345" width="8.88671875" style="119"/>
    <col min="4346" max="4346" width="3.6640625" style="119" customWidth="1"/>
    <col min="4347" max="4347" width="1.6640625" style="119" customWidth="1"/>
    <col min="4348" max="4348" width="16.5546875" style="119" customWidth="1"/>
    <col min="4349" max="4350" width="1.6640625" style="119" customWidth="1"/>
    <col min="4351" max="4351" width="13.5546875" style="119" customWidth="1"/>
    <col min="4352" max="4352" width="1.6640625" style="119" customWidth="1"/>
    <col min="4353" max="4353" width="19.109375" style="119" customWidth="1"/>
    <col min="4354" max="4354" width="1.6640625" style="119" customWidth="1"/>
    <col min="4355" max="4355" width="24.88671875" style="119" customWidth="1"/>
    <col min="4356" max="4356" width="13.88671875" style="119" customWidth="1"/>
    <col min="4357" max="4357" width="13.44140625" style="119" bestFit="1" customWidth="1"/>
    <col min="4358" max="4358" width="1.44140625" style="119" customWidth="1"/>
    <col min="4359" max="4359" width="13.44140625" style="119" bestFit="1" customWidth="1"/>
    <col min="4360" max="4601" width="8.88671875" style="119"/>
    <col min="4602" max="4602" width="3.6640625" style="119" customWidth="1"/>
    <col min="4603" max="4603" width="1.6640625" style="119" customWidth="1"/>
    <col min="4604" max="4604" width="16.5546875" style="119" customWidth="1"/>
    <col min="4605" max="4606" width="1.6640625" style="119" customWidth="1"/>
    <col min="4607" max="4607" width="13.5546875" style="119" customWidth="1"/>
    <col min="4608" max="4608" width="1.6640625" style="119" customWidth="1"/>
    <col min="4609" max="4609" width="19.109375" style="119" customWidth="1"/>
    <col min="4610" max="4610" width="1.6640625" style="119" customWidth="1"/>
    <col min="4611" max="4611" width="24.88671875" style="119" customWidth="1"/>
    <col min="4612" max="4612" width="13.88671875" style="119" customWidth="1"/>
    <col min="4613" max="4613" width="13.44140625" style="119" bestFit="1" customWidth="1"/>
    <col min="4614" max="4614" width="1.44140625" style="119" customWidth="1"/>
    <col min="4615" max="4615" width="13.44140625" style="119" bestFit="1" customWidth="1"/>
    <col min="4616" max="4857" width="8.88671875" style="119"/>
    <col min="4858" max="4858" width="3.6640625" style="119" customWidth="1"/>
    <col min="4859" max="4859" width="1.6640625" style="119" customWidth="1"/>
    <col min="4860" max="4860" width="16.5546875" style="119" customWidth="1"/>
    <col min="4861" max="4862" width="1.6640625" style="119" customWidth="1"/>
    <col min="4863" max="4863" width="13.5546875" style="119" customWidth="1"/>
    <col min="4864" max="4864" width="1.6640625" style="119" customWidth="1"/>
    <col min="4865" max="4865" width="19.109375" style="119" customWidth="1"/>
    <col min="4866" max="4866" width="1.6640625" style="119" customWidth="1"/>
    <col min="4867" max="4867" width="24.88671875" style="119" customWidth="1"/>
    <col min="4868" max="4868" width="13.88671875" style="119" customWidth="1"/>
    <col min="4869" max="4869" width="13.44140625" style="119" bestFit="1" customWidth="1"/>
    <col min="4870" max="4870" width="1.44140625" style="119" customWidth="1"/>
    <col min="4871" max="4871" width="13.44140625" style="119" bestFit="1" customWidth="1"/>
    <col min="4872" max="5113" width="8.88671875" style="119"/>
    <col min="5114" max="5114" width="3.6640625" style="119" customWidth="1"/>
    <col min="5115" max="5115" width="1.6640625" style="119" customWidth="1"/>
    <col min="5116" max="5116" width="16.5546875" style="119" customWidth="1"/>
    <col min="5117" max="5118" width="1.6640625" style="119" customWidth="1"/>
    <col min="5119" max="5119" width="13.5546875" style="119" customWidth="1"/>
    <col min="5120" max="5120" width="1.6640625" style="119" customWidth="1"/>
    <col min="5121" max="5121" width="19.109375" style="119" customWidth="1"/>
    <col min="5122" max="5122" width="1.6640625" style="119" customWidth="1"/>
    <col min="5123" max="5123" width="24.88671875" style="119" customWidth="1"/>
    <col min="5124" max="5124" width="13.88671875" style="119" customWidth="1"/>
    <col min="5125" max="5125" width="13.44140625" style="119" bestFit="1" customWidth="1"/>
    <col min="5126" max="5126" width="1.44140625" style="119" customWidth="1"/>
    <col min="5127" max="5127" width="13.44140625" style="119" bestFit="1" customWidth="1"/>
    <col min="5128" max="5369" width="8.88671875" style="119"/>
    <col min="5370" max="5370" width="3.6640625" style="119" customWidth="1"/>
    <col min="5371" max="5371" width="1.6640625" style="119" customWidth="1"/>
    <col min="5372" max="5372" width="16.5546875" style="119" customWidth="1"/>
    <col min="5373" max="5374" width="1.6640625" style="119" customWidth="1"/>
    <col min="5375" max="5375" width="13.5546875" style="119" customWidth="1"/>
    <col min="5376" max="5376" width="1.6640625" style="119" customWidth="1"/>
    <col min="5377" max="5377" width="19.109375" style="119" customWidth="1"/>
    <col min="5378" max="5378" width="1.6640625" style="119" customWidth="1"/>
    <col min="5379" max="5379" width="24.88671875" style="119" customWidth="1"/>
    <col min="5380" max="5380" width="13.88671875" style="119" customWidth="1"/>
    <col min="5381" max="5381" width="13.44140625" style="119" bestFit="1" customWidth="1"/>
    <col min="5382" max="5382" width="1.44140625" style="119" customWidth="1"/>
    <col min="5383" max="5383" width="13.44140625" style="119" bestFit="1" customWidth="1"/>
    <col min="5384" max="5625" width="8.88671875" style="119"/>
    <col min="5626" max="5626" width="3.6640625" style="119" customWidth="1"/>
    <col min="5627" max="5627" width="1.6640625" style="119" customWidth="1"/>
    <col min="5628" max="5628" width="16.5546875" style="119" customWidth="1"/>
    <col min="5629" max="5630" width="1.6640625" style="119" customWidth="1"/>
    <col min="5631" max="5631" width="13.5546875" style="119" customWidth="1"/>
    <col min="5632" max="5632" width="1.6640625" style="119" customWidth="1"/>
    <col min="5633" max="5633" width="19.109375" style="119" customWidth="1"/>
    <col min="5634" max="5634" width="1.6640625" style="119" customWidth="1"/>
    <col min="5635" max="5635" width="24.88671875" style="119" customWidth="1"/>
    <col min="5636" max="5636" width="13.88671875" style="119" customWidth="1"/>
    <col min="5637" max="5637" width="13.44140625" style="119" bestFit="1" customWidth="1"/>
    <col min="5638" max="5638" width="1.44140625" style="119" customWidth="1"/>
    <col min="5639" max="5639" width="13.44140625" style="119" bestFit="1" customWidth="1"/>
    <col min="5640" max="5881" width="8.88671875" style="119"/>
    <col min="5882" max="5882" width="3.6640625" style="119" customWidth="1"/>
    <col min="5883" max="5883" width="1.6640625" style="119" customWidth="1"/>
    <col min="5884" max="5884" width="16.5546875" style="119" customWidth="1"/>
    <col min="5885" max="5886" width="1.6640625" style="119" customWidth="1"/>
    <col min="5887" max="5887" width="13.5546875" style="119" customWidth="1"/>
    <col min="5888" max="5888" width="1.6640625" style="119" customWidth="1"/>
    <col min="5889" max="5889" width="19.109375" style="119" customWidth="1"/>
    <col min="5890" max="5890" width="1.6640625" style="119" customWidth="1"/>
    <col min="5891" max="5891" width="24.88671875" style="119" customWidth="1"/>
    <col min="5892" max="5892" width="13.88671875" style="119" customWidth="1"/>
    <col min="5893" max="5893" width="13.44140625" style="119" bestFit="1" customWidth="1"/>
    <col min="5894" max="5894" width="1.44140625" style="119" customWidth="1"/>
    <col min="5895" max="5895" width="13.44140625" style="119" bestFit="1" customWidth="1"/>
    <col min="5896" max="6137" width="8.88671875" style="119"/>
    <col min="6138" max="6138" width="3.6640625" style="119" customWidth="1"/>
    <col min="6139" max="6139" width="1.6640625" style="119" customWidth="1"/>
    <col min="6140" max="6140" width="16.5546875" style="119" customWidth="1"/>
    <col min="6141" max="6142" width="1.6640625" style="119" customWidth="1"/>
    <col min="6143" max="6143" width="13.5546875" style="119" customWidth="1"/>
    <col min="6144" max="6144" width="1.6640625" style="119" customWidth="1"/>
    <col min="6145" max="6145" width="19.109375" style="119" customWidth="1"/>
    <col min="6146" max="6146" width="1.6640625" style="119" customWidth="1"/>
    <col min="6147" max="6147" width="24.88671875" style="119" customWidth="1"/>
    <col min="6148" max="6148" width="13.88671875" style="119" customWidth="1"/>
    <col min="6149" max="6149" width="13.44140625" style="119" bestFit="1" customWidth="1"/>
    <col min="6150" max="6150" width="1.44140625" style="119" customWidth="1"/>
    <col min="6151" max="6151" width="13.44140625" style="119" bestFit="1" customWidth="1"/>
    <col min="6152" max="6393" width="8.88671875" style="119"/>
    <col min="6394" max="6394" width="3.6640625" style="119" customWidth="1"/>
    <col min="6395" max="6395" width="1.6640625" style="119" customWidth="1"/>
    <col min="6396" max="6396" width="16.5546875" style="119" customWidth="1"/>
    <col min="6397" max="6398" width="1.6640625" style="119" customWidth="1"/>
    <col min="6399" max="6399" width="13.5546875" style="119" customWidth="1"/>
    <col min="6400" max="6400" width="1.6640625" style="119" customWidth="1"/>
    <col min="6401" max="6401" width="19.109375" style="119" customWidth="1"/>
    <col min="6402" max="6402" width="1.6640625" style="119" customWidth="1"/>
    <col min="6403" max="6403" width="24.88671875" style="119" customWidth="1"/>
    <col min="6404" max="6404" width="13.88671875" style="119" customWidth="1"/>
    <col min="6405" max="6405" width="13.44140625" style="119" bestFit="1" customWidth="1"/>
    <col min="6406" max="6406" width="1.44140625" style="119" customWidth="1"/>
    <col min="6407" max="6407" width="13.44140625" style="119" bestFit="1" customWidth="1"/>
    <col min="6408" max="6649" width="8.88671875" style="119"/>
    <col min="6650" max="6650" width="3.6640625" style="119" customWidth="1"/>
    <col min="6651" max="6651" width="1.6640625" style="119" customWidth="1"/>
    <col min="6652" max="6652" width="16.5546875" style="119" customWidth="1"/>
    <col min="6653" max="6654" width="1.6640625" style="119" customWidth="1"/>
    <col min="6655" max="6655" width="13.5546875" style="119" customWidth="1"/>
    <col min="6656" max="6656" width="1.6640625" style="119" customWidth="1"/>
    <col min="6657" max="6657" width="19.109375" style="119" customWidth="1"/>
    <col min="6658" max="6658" width="1.6640625" style="119" customWidth="1"/>
    <col min="6659" max="6659" width="24.88671875" style="119" customWidth="1"/>
    <col min="6660" max="6660" width="13.88671875" style="119" customWidth="1"/>
    <col min="6661" max="6661" width="13.44140625" style="119" bestFit="1" customWidth="1"/>
    <col min="6662" max="6662" width="1.44140625" style="119" customWidth="1"/>
    <col min="6663" max="6663" width="13.44140625" style="119" bestFit="1" customWidth="1"/>
    <col min="6664" max="6905" width="8.88671875" style="119"/>
    <col min="6906" max="6906" width="3.6640625" style="119" customWidth="1"/>
    <col min="6907" max="6907" width="1.6640625" style="119" customWidth="1"/>
    <col min="6908" max="6908" width="16.5546875" style="119" customWidth="1"/>
    <col min="6909" max="6910" width="1.6640625" style="119" customWidth="1"/>
    <col min="6911" max="6911" width="13.5546875" style="119" customWidth="1"/>
    <col min="6912" max="6912" width="1.6640625" style="119" customWidth="1"/>
    <col min="6913" max="6913" width="19.109375" style="119" customWidth="1"/>
    <col min="6914" max="6914" width="1.6640625" style="119" customWidth="1"/>
    <col min="6915" max="6915" width="24.88671875" style="119" customWidth="1"/>
    <col min="6916" max="6916" width="13.88671875" style="119" customWidth="1"/>
    <col min="6917" max="6917" width="13.44140625" style="119" bestFit="1" customWidth="1"/>
    <col min="6918" max="6918" width="1.44140625" style="119" customWidth="1"/>
    <col min="6919" max="6919" width="13.44140625" style="119" bestFit="1" customWidth="1"/>
    <col min="6920" max="7161" width="8.88671875" style="119"/>
    <col min="7162" max="7162" width="3.6640625" style="119" customWidth="1"/>
    <col min="7163" max="7163" width="1.6640625" style="119" customWidth="1"/>
    <col min="7164" max="7164" width="16.5546875" style="119" customWidth="1"/>
    <col min="7165" max="7166" width="1.6640625" style="119" customWidth="1"/>
    <col min="7167" max="7167" width="13.5546875" style="119" customWidth="1"/>
    <col min="7168" max="7168" width="1.6640625" style="119" customWidth="1"/>
    <col min="7169" max="7169" width="19.109375" style="119" customWidth="1"/>
    <col min="7170" max="7170" width="1.6640625" style="119" customWidth="1"/>
    <col min="7171" max="7171" width="24.88671875" style="119" customWidth="1"/>
    <col min="7172" max="7172" width="13.88671875" style="119" customWidth="1"/>
    <col min="7173" max="7173" width="13.44140625" style="119" bestFit="1" customWidth="1"/>
    <col min="7174" max="7174" width="1.44140625" style="119" customWidth="1"/>
    <col min="7175" max="7175" width="13.44140625" style="119" bestFit="1" customWidth="1"/>
    <col min="7176" max="7417" width="8.88671875" style="119"/>
    <col min="7418" max="7418" width="3.6640625" style="119" customWidth="1"/>
    <col min="7419" max="7419" width="1.6640625" style="119" customWidth="1"/>
    <col min="7420" max="7420" width="16.5546875" style="119" customWidth="1"/>
    <col min="7421" max="7422" width="1.6640625" style="119" customWidth="1"/>
    <col min="7423" max="7423" width="13.5546875" style="119" customWidth="1"/>
    <col min="7424" max="7424" width="1.6640625" style="119" customWidth="1"/>
    <col min="7425" max="7425" width="19.109375" style="119" customWidth="1"/>
    <col min="7426" max="7426" width="1.6640625" style="119" customWidth="1"/>
    <col min="7427" max="7427" width="24.88671875" style="119" customWidth="1"/>
    <col min="7428" max="7428" width="13.88671875" style="119" customWidth="1"/>
    <col min="7429" max="7429" width="13.44140625" style="119" bestFit="1" customWidth="1"/>
    <col min="7430" max="7430" width="1.44140625" style="119" customWidth="1"/>
    <col min="7431" max="7431" width="13.44140625" style="119" bestFit="1" customWidth="1"/>
    <col min="7432" max="7673" width="8.88671875" style="119"/>
    <col min="7674" max="7674" width="3.6640625" style="119" customWidth="1"/>
    <col min="7675" max="7675" width="1.6640625" style="119" customWidth="1"/>
    <col min="7676" max="7676" width="16.5546875" style="119" customWidth="1"/>
    <col min="7677" max="7678" width="1.6640625" style="119" customWidth="1"/>
    <col min="7679" max="7679" width="13.5546875" style="119" customWidth="1"/>
    <col min="7680" max="7680" width="1.6640625" style="119" customWidth="1"/>
    <col min="7681" max="7681" width="19.109375" style="119" customWidth="1"/>
    <col min="7682" max="7682" width="1.6640625" style="119" customWidth="1"/>
    <col min="7683" max="7683" width="24.88671875" style="119" customWidth="1"/>
    <col min="7684" max="7684" width="13.88671875" style="119" customWidth="1"/>
    <col min="7685" max="7685" width="13.44140625" style="119" bestFit="1" customWidth="1"/>
    <col min="7686" max="7686" width="1.44140625" style="119" customWidth="1"/>
    <col min="7687" max="7687" width="13.44140625" style="119" bestFit="1" customWidth="1"/>
    <col min="7688" max="7929" width="8.88671875" style="119"/>
    <col min="7930" max="7930" width="3.6640625" style="119" customWidth="1"/>
    <col min="7931" max="7931" width="1.6640625" style="119" customWidth="1"/>
    <col min="7932" max="7932" width="16.5546875" style="119" customWidth="1"/>
    <col min="7933" max="7934" width="1.6640625" style="119" customWidth="1"/>
    <col min="7935" max="7935" width="13.5546875" style="119" customWidth="1"/>
    <col min="7936" max="7936" width="1.6640625" style="119" customWidth="1"/>
    <col min="7937" max="7937" width="19.109375" style="119" customWidth="1"/>
    <col min="7938" max="7938" width="1.6640625" style="119" customWidth="1"/>
    <col min="7939" max="7939" width="24.88671875" style="119" customWidth="1"/>
    <col min="7940" max="7940" width="13.88671875" style="119" customWidth="1"/>
    <col min="7941" max="7941" width="13.44140625" style="119" bestFit="1" customWidth="1"/>
    <col min="7942" max="7942" width="1.44140625" style="119" customWidth="1"/>
    <col min="7943" max="7943" width="13.44140625" style="119" bestFit="1" customWidth="1"/>
    <col min="7944" max="8185" width="8.88671875" style="119"/>
    <col min="8186" max="8186" width="3.6640625" style="119" customWidth="1"/>
    <col min="8187" max="8187" width="1.6640625" style="119" customWidth="1"/>
    <col min="8188" max="8188" width="16.5546875" style="119" customWidth="1"/>
    <col min="8189" max="8190" width="1.6640625" style="119" customWidth="1"/>
    <col min="8191" max="8191" width="13.5546875" style="119" customWidth="1"/>
    <col min="8192" max="8192" width="1.6640625" style="119" customWidth="1"/>
    <col min="8193" max="8193" width="19.109375" style="119" customWidth="1"/>
    <col min="8194" max="8194" width="1.6640625" style="119" customWidth="1"/>
    <col min="8195" max="8195" width="24.88671875" style="119" customWidth="1"/>
    <col min="8196" max="8196" width="13.88671875" style="119" customWidth="1"/>
    <col min="8197" max="8197" width="13.44140625" style="119" bestFit="1" customWidth="1"/>
    <col min="8198" max="8198" width="1.44140625" style="119" customWidth="1"/>
    <col min="8199" max="8199" width="13.44140625" style="119" bestFit="1" customWidth="1"/>
    <col min="8200" max="8441" width="8.88671875" style="119"/>
    <col min="8442" max="8442" width="3.6640625" style="119" customWidth="1"/>
    <col min="8443" max="8443" width="1.6640625" style="119" customWidth="1"/>
    <col min="8444" max="8444" width="16.5546875" style="119" customWidth="1"/>
    <col min="8445" max="8446" width="1.6640625" style="119" customWidth="1"/>
    <col min="8447" max="8447" width="13.5546875" style="119" customWidth="1"/>
    <col min="8448" max="8448" width="1.6640625" style="119" customWidth="1"/>
    <col min="8449" max="8449" width="19.109375" style="119" customWidth="1"/>
    <col min="8450" max="8450" width="1.6640625" style="119" customWidth="1"/>
    <col min="8451" max="8451" width="24.88671875" style="119" customWidth="1"/>
    <col min="8452" max="8452" width="13.88671875" style="119" customWidth="1"/>
    <col min="8453" max="8453" width="13.44140625" style="119" bestFit="1" customWidth="1"/>
    <col min="8454" max="8454" width="1.44140625" style="119" customWidth="1"/>
    <col min="8455" max="8455" width="13.44140625" style="119" bestFit="1" customWidth="1"/>
    <col min="8456" max="8697" width="8.88671875" style="119"/>
    <col min="8698" max="8698" width="3.6640625" style="119" customWidth="1"/>
    <col min="8699" max="8699" width="1.6640625" style="119" customWidth="1"/>
    <col min="8700" max="8700" width="16.5546875" style="119" customWidth="1"/>
    <col min="8701" max="8702" width="1.6640625" style="119" customWidth="1"/>
    <col min="8703" max="8703" width="13.5546875" style="119" customWidth="1"/>
    <col min="8704" max="8704" width="1.6640625" style="119" customWidth="1"/>
    <col min="8705" max="8705" width="19.109375" style="119" customWidth="1"/>
    <col min="8706" max="8706" width="1.6640625" style="119" customWidth="1"/>
    <col min="8707" max="8707" width="24.88671875" style="119" customWidth="1"/>
    <col min="8708" max="8708" width="13.88671875" style="119" customWidth="1"/>
    <col min="8709" max="8709" width="13.44140625" style="119" bestFit="1" customWidth="1"/>
    <col min="8710" max="8710" width="1.44140625" style="119" customWidth="1"/>
    <col min="8711" max="8711" width="13.44140625" style="119" bestFit="1" customWidth="1"/>
    <col min="8712" max="8953" width="8.88671875" style="119"/>
    <col min="8954" max="8954" width="3.6640625" style="119" customWidth="1"/>
    <col min="8955" max="8955" width="1.6640625" style="119" customWidth="1"/>
    <col min="8956" max="8956" width="16.5546875" style="119" customWidth="1"/>
    <col min="8957" max="8958" width="1.6640625" style="119" customWidth="1"/>
    <col min="8959" max="8959" width="13.5546875" style="119" customWidth="1"/>
    <col min="8960" max="8960" width="1.6640625" style="119" customWidth="1"/>
    <col min="8961" max="8961" width="19.109375" style="119" customWidth="1"/>
    <col min="8962" max="8962" width="1.6640625" style="119" customWidth="1"/>
    <col min="8963" max="8963" width="24.88671875" style="119" customWidth="1"/>
    <col min="8964" max="8964" width="13.88671875" style="119" customWidth="1"/>
    <col min="8965" max="8965" width="13.44140625" style="119" bestFit="1" customWidth="1"/>
    <col min="8966" max="8966" width="1.44140625" style="119" customWidth="1"/>
    <col min="8967" max="8967" width="13.44140625" style="119" bestFit="1" customWidth="1"/>
    <col min="8968" max="9209" width="8.88671875" style="119"/>
    <col min="9210" max="9210" width="3.6640625" style="119" customWidth="1"/>
    <col min="9211" max="9211" width="1.6640625" style="119" customWidth="1"/>
    <col min="9212" max="9212" width="16.5546875" style="119" customWidth="1"/>
    <col min="9213" max="9214" width="1.6640625" style="119" customWidth="1"/>
    <col min="9215" max="9215" width="13.5546875" style="119" customWidth="1"/>
    <col min="9216" max="9216" width="1.6640625" style="119" customWidth="1"/>
    <col min="9217" max="9217" width="19.109375" style="119" customWidth="1"/>
    <col min="9218" max="9218" width="1.6640625" style="119" customWidth="1"/>
    <col min="9219" max="9219" width="24.88671875" style="119" customWidth="1"/>
    <col min="9220" max="9220" width="13.88671875" style="119" customWidth="1"/>
    <col min="9221" max="9221" width="13.44140625" style="119" bestFit="1" customWidth="1"/>
    <col min="9222" max="9222" width="1.44140625" style="119" customWidth="1"/>
    <col min="9223" max="9223" width="13.44140625" style="119" bestFit="1" customWidth="1"/>
    <col min="9224" max="9465" width="8.88671875" style="119"/>
    <col min="9466" max="9466" width="3.6640625" style="119" customWidth="1"/>
    <col min="9467" max="9467" width="1.6640625" style="119" customWidth="1"/>
    <col min="9468" max="9468" width="16.5546875" style="119" customWidth="1"/>
    <col min="9469" max="9470" width="1.6640625" style="119" customWidth="1"/>
    <col min="9471" max="9471" width="13.5546875" style="119" customWidth="1"/>
    <col min="9472" max="9472" width="1.6640625" style="119" customWidth="1"/>
    <col min="9473" max="9473" width="19.109375" style="119" customWidth="1"/>
    <col min="9474" max="9474" width="1.6640625" style="119" customWidth="1"/>
    <col min="9475" max="9475" width="24.88671875" style="119" customWidth="1"/>
    <col min="9476" max="9476" width="13.88671875" style="119" customWidth="1"/>
    <col min="9477" max="9477" width="13.44140625" style="119" bestFit="1" customWidth="1"/>
    <col min="9478" max="9478" width="1.44140625" style="119" customWidth="1"/>
    <col min="9479" max="9479" width="13.44140625" style="119" bestFit="1" customWidth="1"/>
    <col min="9480" max="9721" width="8.88671875" style="119"/>
    <col min="9722" max="9722" width="3.6640625" style="119" customWidth="1"/>
    <col min="9723" max="9723" width="1.6640625" style="119" customWidth="1"/>
    <col min="9724" max="9724" width="16.5546875" style="119" customWidth="1"/>
    <col min="9725" max="9726" width="1.6640625" style="119" customWidth="1"/>
    <col min="9727" max="9727" width="13.5546875" style="119" customWidth="1"/>
    <col min="9728" max="9728" width="1.6640625" style="119" customWidth="1"/>
    <col min="9729" max="9729" width="19.109375" style="119" customWidth="1"/>
    <col min="9730" max="9730" width="1.6640625" style="119" customWidth="1"/>
    <col min="9731" max="9731" width="24.88671875" style="119" customWidth="1"/>
    <col min="9732" max="9732" width="13.88671875" style="119" customWidth="1"/>
    <col min="9733" max="9733" width="13.44140625" style="119" bestFit="1" customWidth="1"/>
    <col min="9734" max="9734" width="1.44140625" style="119" customWidth="1"/>
    <col min="9735" max="9735" width="13.44140625" style="119" bestFit="1" customWidth="1"/>
    <col min="9736" max="9977" width="8.88671875" style="119"/>
    <col min="9978" max="9978" width="3.6640625" style="119" customWidth="1"/>
    <col min="9979" max="9979" width="1.6640625" style="119" customWidth="1"/>
    <col min="9980" max="9980" width="16.5546875" style="119" customWidth="1"/>
    <col min="9981" max="9982" width="1.6640625" style="119" customWidth="1"/>
    <col min="9983" max="9983" width="13.5546875" style="119" customWidth="1"/>
    <col min="9984" max="9984" width="1.6640625" style="119" customWidth="1"/>
    <col min="9985" max="9985" width="19.109375" style="119" customWidth="1"/>
    <col min="9986" max="9986" width="1.6640625" style="119" customWidth="1"/>
    <col min="9987" max="9987" width="24.88671875" style="119" customWidth="1"/>
    <col min="9988" max="9988" width="13.88671875" style="119" customWidth="1"/>
    <col min="9989" max="9989" width="13.44140625" style="119" bestFit="1" customWidth="1"/>
    <col min="9990" max="9990" width="1.44140625" style="119" customWidth="1"/>
    <col min="9991" max="9991" width="13.44140625" style="119" bestFit="1" customWidth="1"/>
    <col min="9992" max="10233" width="8.88671875" style="119"/>
    <col min="10234" max="10234" width="3.6640625" style="119" customWidth="1"/>
    <col min="10235" max="10235" width="1.6640625" style="119" customWidth="1"/>
    <col min="10236" max="10236" width="16.5546875" style="119" customWidth="1"/>
    <col min="10237" max="10238" width="1.6640625" style="119" customWidth="1"/>
    <col min="10239" max="10239" width="13.5546875" style="119" customWidth="1"/>
    <col min="10240" max="10240" width="1.6640625" style="119" customWidth="1"/>
    <col min="10241" max="10241" width="19.109375" style="119" customWidth="1"/>
    <col min="10242" max="10242" width="1.6640625" style="119" customWidth="1"/>
    <col min="10243" max="10243" width="24.88671875" style="119" customWidth="1"/>
    <col min="10244" max="10244" width="13.88671875" style="119" customWidth="1"/>
    <col min="10245" max="10245" width="13.44140625" style="119" bestFit="1" customWidth="1"/>
    <col min="10246" max="10246" width="1.44140625" style="119" customWidth="1"/>
    <col min="10247" max="10247" width="13.44140625" style="119" bestFit="1" customWidth="1"/>
    <col min="10248" max="10489" width="8.88671875" style="119"/>
    <col min="10490" max="10490" width="3.6640625" style="119" customWidth="1"/>
    <col min="10491" max="10491" width="1.6640625" style="119" customWidth="1"/>
    <col min="10492" max="10492" width="16.5546875" style="119" customWidth="1"/>
    <col min="10493" max="10494" width="1.6640625" style="119" customWidth="1"/>
    <col min="10495" max="10495" width="13.5546875" style="119" customWidth="1"/>
    <col min="10496" max="10496" width="1.6640625" style="119" customWidth="1"/>
    <col min="10497" max="10497" width="19.109375" style="119" customWidth="1"/>
    <col min="10498" max="10498" width="1.6640625" style="119" customWidth="1"/>
    <col min="10499" max="10499" width="24.88671875" style="119" customWidth="1"/>
    <col min="10500" max="10500" width="13.88671875" style="119" customWidth="1"/>
    <col min="10501" max="10501" width="13.44140625" style="119" bestFit="1" customWidth="1"/>
    <col min="10502" max="10502" width="1.44140625" style="119" customWidth="1"/>
    <col min="10503" max="10503" width="13.44140625" style="119" bestFit="1" customWidth="1"/>
    <col min="10504" max="10745" width="8.88671875" style="119"/>
    <col min="10746" max="10746" width="3.6640625" style="119" customWidth="1"/>
    <col min="10747" max="10747" width="1.6640625" style="119" customWidth="1"/>
    <col min="10748" max="10748" width="16.5546875" style="119" customWidth="1"/>
    <col min="10749" max="10750" width="1.6640625" style="119" customWidth="1"/>
    <col min="10751" max="10751" width="13.5546875" style="119" customWidth="1"/>
    <col min="10752" max="10752" width="1.6640625" style="119" customWidth="1"/>
    <col min="10753" max="10753" width="19.109375" style="119" customWidth="1"/>
    <col min="10754" max="10754" width="1.6640625" style="119" customWidth="1"/>
    <col min="10755" max="10755" width="24.88671875" style="119" customWidth="1"/>
    <col min="10756" max="10756" width="13.88671875" style="119" customWidth="1"/>
    <col min="10757" max="10757" width="13.44140625" style="119" bestFit="1" customWidth="1"/>
    <col min="10758" max="10758" width="1.44140625" style="119" customWidth="1"/>
    <col min="10759" max="10759" width="13.44140625" style="119" bestFit="1" customWidth="1"/>
    <col min="10760" max="11001" width="8.88671875" style="119"/>
    <col min="11002" max="11002" width="3.6640625" style="119" customWidth="1"/>
    <col min="11003" max="11003" width="1.6640625" style="119" customWidth="1"/>
    <col min="11004" max="11004" width="16.5546875" style="119" customWidth="1"/>
    <col min="11005" max="11006" width="1.6640625" style="119" customWidth="1"/>
    <col min="11007" max="11007" width="13.5546875" style="119" customWidth="1"/>
    <col min="11008" max="11008" width="1.6640625" style="119" customWidth="1"/>
    <col min="11009" max="11009" width="19.109375" style="119" customWidth="1"/>
    <col min="11010" max="11010" width="1.6640625" style="119" customWidth="1"/>
    <col min="11011" max="11011" width="24.88671875" style="119" customWidth="1"/>
    <col min="11012" max="11012" width="13.88671875" style="119" customWidth="1"/>
    <col min="11013" max="11013" width="13.44140625" style="119" bestFit="1" customWidth="1"/>
    <col min="11014" max="11014" width="1.44140625" style="119" customWidth="1"/>
    <col min="11015" max="11015" width="13.44140625" style="119" bestFit="1" customWidth="1"/>
    <col min="11016" max="11257" width="8.88671875" style="119"/>
    <col min="11258" max="11258" width="3.6640625" style="119" customWidth="1"/>
    <col min="11259" max="11259" width="1.6640625" style="119" customWidth="1"/>
    <col min="11260" max="11260" width="16.5546875" style="119" customWidth="1"/>
    <col min="11261" max="11262" width="1.6640625" style="119" customWidth="1"/>
    <col min="11263" max="11263" width="13.5546875" style="119" customWidth="1"/>
    <col min="11264" max="11264" width="1.6640625" style="119" customWidth="1"/>
    <col min="11265" max="11265" width="19.109375" style="119" customWidth="1"/>
    <col min="11266" max="11266" width="1.6640625" style="119" customWidth="1"/>
    <col min="11267" max="11267" width="24.88671875" style="119" customWidth="1"/>
    <col min="11268" max="11268" width="13.88671875" style="119" customWidth="1"/>
    <col min="11269" max="11269" width="13.44140625" style="119" bestFit="1" customWidth="1"/>
    <col min="11270" max="11270" width="1.44140625" style="119" customWidth="1"/>
    <col min="11271" max="11271" width="13.44140625" style="119" bestFit="1" customWidth="1"/>
    <col min="11272" max="11513" width="8.88671875" style="119"/>
    <col min="11514" max="11514" width="3.6640625" style="119" customWidth="1"/>
    <col min="11515" max="11515" width="1.6640625" style="119" customWidth="1"/>
    <col min="11516" max="11516" width="16.5546875" style="119" customWidth="1"/>
    <col min="11517" max="11518" width="1.6640625" style="119" customWidth="1"/>
    <col min="11519" max="11519" width="13.5546875" style="119" customWidth="1"/>
    <col min="11520" max="11520" width="1.6640625" style="119" customWidth="1"/>
    <col min="11521" max="11521" width="19.109375" style="119" customWidth="1"/>
    <col min="11522" max="11522" width="1.6640625" style="119" customWidth="1"/>
    <col min="11523" max="11523" width="24.88671875" style="119" customWidth="1"/>
    <col min="11524" max="11524" width="13.88671875" style="119" customWidth="1"/>
    <col min="11525" max="11525" width="13.44140625" style="119" bestFit="1" customWidth="1"/>
    <col min="11526" max="11526" width="1.44140625" style="119" customWidth="1"/>
    <col min="11527" max="11527" width="13.44140625" style="119" bestFit="1" customWidth="1"/>
    <col min="11528" max="11769" width="8.88671875" style="119"/>
    <col min="11770" max="11770" width="3.6640625" style="119" customWidth="1"/>
    <col min="11771" max="11771" width="1.6640625" style="119" customWidth="1"/>
    <col min="11772" max="11772" width="16.5546875" style="119" customWidth="1"/>
    <col min="11773" max="11774" width="1.6640625" style="119" customWidth="1"/>
    <col min="11775" max="11775" width="13.5546875" style="119" customWidth="1"/>
    <col min="11776" max="11776" width="1.6640625" style="119" customWidth="1"/>
    <col min="11777" max="11777" width="19.109375" style="119" customWidth="1"/>
    <col min="11778" max="11778" width="1.6640625" style="119" customWidth="1"/>
    <col min="11779" max="11779" width="24.88671875" style="119" customWidth="1"/>
    <col min="11780" max="11780" width="13.88671875" style="119" customWidth="1"/>
    <col min="11781" max="11781" width="13.44140625" style="119" bestFit="1" customWidth="1"/>
    <col min="11782" max="11782" width="1.44140625" style="119" customWidth="1"/>
    <col min="11783" max="11783" width="13.44140625" style="119" bestFit="1" customWidth="1"/>
    <col min="11784" max="12025" width="8.88671875" style="119"/>
    <col min="12026" max="12026" width="3.6640625" style="119" customWidth="1"/>
    <col min="12027" max="12027" width="1.6640625" style="119" customWidth="1"/>
    <col min="12028" max="12028" width="16.5546875" style="119" customWidth="1"/>
    <col min="12029" max="12030" width="1.6640625" style="119" customWidth="1"/>
    <col min="12031" max="12031" width="13.5546875" style="119" customWidth="1"/>
    <col min="12032" max="12032" width="1.6640625" style="119" customWidth="1"/>
    <col min="12033" max="12033" width="19.109375" style="119" customWidth="1"/>
    <col min="12034" max="12034" width="1.6640625" style="119" customWidth="1"/>
    <col min="12035" max="12035" width="24.88671875" style="119" customWidth="1"/>
    <col min="12036" max="12036" width="13.88671875" style="119" customWidth="1"/>
    <col min="12037" max="12037" width="13.44140625" style="119" bestFit="1" customWidth="1"/>
    <col min="12038" max="12038" width="1.44140625" style="119" customWidth="1"/>
    <col min="12039" max="12039" width="13.44140625" style="119" bestFit="1" customWidth="1"/>
    <col min="12040" max="12281" width="8.88671875" style="119"/>
    <col min="12282" max="12282" width="3.6640625" style="119" customWidth="1"/>
    <col min="12283" max="12283" width="1.6640625" style="119" customWidth="1"/>
    <col min="12284" max="12284" width="16.5546875" style="119" customWidth="1"/>
    <col min="12285" max="12286" width="1.6640625" style="119" customWidth="1"/>
    <col min="12287" max="12287" width="13.5546875" style="119" customWidth="1"/>
    <col min="12288" max="12288" width="1.6640625" style="119" customWidth="1"/>
    <col min="12289" max="12289" width="19.109375" style="119" customWidth="1"/>
    <col min="12290" max="12290" width="1.6640625" style="119" customWidth="1"/>
    <col min="12291" max="12291" width="24.88671875" style="119" customWidth="1"/>
    <col min="12292" max="12292" width="13.88671875" style="119" customWidth="1"/>
    <col min="12293" max="12293" width="13.44140625" style="119" bestFit="1" customWidth="1"/>
    <col min="12294" max="12294" width="1.44140625" style="119" customWidth="1"/>
    <col min="12295" max="12295" width="13.44140625" style="119" bestFit="1" customWidth="1"/>
    <col min="12296" max="12537" width="8.88671875" style="119"/>
    <col min="12538" max="12538" width="3.6640625" style="119" customWidth="1"/>
    <col min="12539" max="12539" width="1.6640625" style="119" customWidth="1"/>
    <col min="12540" max="12540" width="16.5546875" style="119" customWidth="1"/>
    <col min="12541" max="12542" width="1.6640625" style="119" customWidth="1"/>
    <col min="12543" max="12543" width="13.5546875" style="119" customWidth="1"/>
    <col min="12544" max="12544" width="1.6640625" style="119" customWidth="1"/>
    <col min="12545" max="12545" width="19.109375" style="119" customWidth="1"/>
    <col min="12546" max="12546" width="1.6640625" style="119" customWidth="1"/>
    <col min="12547" max="12547" width="24.88671875" style="119" customWidth="1"/>
    <col min="12548" max="12548" width="13.88671875" style="119" customWidth="1"/>
    <col min="12549" max="12549" width="13.44140625" style="119" bestFit="1" customWidth="1"/>
    <col min="12550" max="12550" width="1.44140625" style="119" customWidth="1"/>
    <col min="12551" max="12551" width="13.44140625" style="119" bestFit="1" customWidth="1"/>
    <col min="12552" max="12793" width="8.88671875" style="119"/>
    <col min="12794" max="12794" width="3.6640625" style="119" customWidth="1"/>
    <col min="12795" max="12795" width="1.6640625" style="119" customWidth="1"/>
    <col min="12796" max="12796" width="16.5546875" style="119" customWidth="1"/>
    <col min="12797" max="12798" width="1.6640625" style="119" customWidth="1"/>
    <col min="12799" max="12799" width="13.5546875" style="119" customWidth="1"/>
    <col min="12800" max="12800" width="1.6640625" style="119" customWidth="1"/>
    <col min="12801" max="12801" width="19.109375" style="119" customWidth="1"/>
    <col min="12802" max="12802" width="1.6640625" style="119" customWidth="1"/>
    <col min="12803" max="12803" width="24.88671875" style="119" customWidth="1"/>
    <col min="12804" max="12804" width="13.88671875" style="119" customWidth="1"/>
    <col min="12805" max="12805" width="13.44140625" style="119" bestFit="1" customWidth="1"/>
    <col min="12806" max="12806" width="1.44140625" style="119" customWidth="1"/>
    <col min="12807" max="12807" width="13.44140625" style="119" bestFit="1" customWidth="1"/>
    <col min="12808" max="13049" width="8.88671875" style="119"/>
    <col min="13050" max="13050" width="3.6640625" style="119" customWidth="1"/>
    <col min="13051" max="13051" width="1.6640625" style="119" customWidth="1"/>
    <col min="13052" max="13052" width="16.5546875" style="119" customWidth="1"/>
    <col min="13053" max="13054" width="1.6640625" style="119" customWidth="1"/>
    <col min="13055" max="13055" width="13.5546875" style="119" customWidth="1"/>
    <col min="13056" max="13056" width="1.6640625" style="119" customWidth="1"/>
    <col min="13057" max="13057" width="19.109375" style="119" customWidth="1"/>
    <col min="13058" max="13058" width="1.6640625" style="119" customWidth="1"/>
    <col min="13059" max="13059" width="24.88671875" style="119" customWidth="1"/>
    <col min="13060" max="13060" width="13.88671875" style="119" customWidth="1"/>
    <col min="13061" max="13061" width="13.44140625" style="119" bestFit="1" customWidth="1"/>
    <col min="13062" max="13062" width="1.44140625" style="119" customWidth="1"/>
    <col min="13063" max="13063" width="13.44140625" style="119" bestFit="1" customWidth="1"/>
    <col min="13064" max="13305" width="8.88671875" style="119"/>
    <col min="13306" max="13306" width="3.6640625" style="119" customWidth="1"/>
    <col min="13307" max="13307" width="1.6640625" style="119" customWidth="1"/>
    <col min="13308" max="13308" width="16.5546875" style="119" customWidth="1"/>
    <col min="13309" max="13310" width="1.6640625" style="119" customWidth="1"/>
    <col min="13311" max="13311" width="13.5546875" style="119" customWidth="1"/>
    <col min="13312" max="13312" width="1.6640625" style="119" customWidth="1"/>
    <col min="13313" max="13313" width="19.109375" style="119" customWidth="1"/>
    <col min="13314" max="13314" width="1.6640625" style="119" customWidth="1"/>
    <col min="13315" max="13315" width="24.88671875" style="119" customWidth="1"/>
    <col min="13316" max="13316" width="13.88671875" style="119" customWidth="1"/>
    <col min="13317" max="13317" width="13.44140625" style="119" bestFit="1" customWidth="1"/>
    <col min="13318" max="13318" width="1.44140625" style="119" customWidth="1"/>
    <col min="13319" max="13319" width="13.44140625" style="119" bestFit="1" customWidth="1"/>
    <col min="13320" max="13561" width="8.88671875" style="119"/>
    <col min="13562" max="13562" width="3.6640625" style="119" customWidth="1"/>
    <col min="13563" max="13563" width="1.6640625" style="119" customWidth="1"/>
    <col min="13564" max="13564" width="16.5546875" style="119" customWidth="1"/>
    <col min="13565" max="13566" width="1.6640625" style="119" customWidth="1"/>
    <col min="13567" max="13567" width="13.5546875" style="119" customWidth="1"/>
    <col min="13568" max="13568" width="1.6640625" style="119" customWidth="1"/>
    <col min="13569" max="13569" width="19.109375" style="119" customWidth="1"/>
    <col min="13570" max="13570" width="1.6640625" style="119" customWidth="1"/>
    <col min="13571" max="13571" width="24.88671875" style="119" customWidth="1"/>
    <col min="13572" max="13572" width="13.88671875" style="119" customWidth="1"/>
    <col min="13573" max="13573" width="13.44140625" style="119" bestFit="1" customWidth="1"/>
    <col min="13574" max="13574" width="1.44140625" style="119" customWidth="1"/>
    <col min="13575" max="13575" width="13.44140625" style="119" bestFit="1" customWidth="1"/>
    <col min="13576" max="13817" width="8.88671875" style="119"/>
    <col min="13818" max="13818" width="3.6640625" style="119" customWidth="1"/>
    <col min="13819" max="13819" width="1.6640625" style="119" customWidth="1"/>
    <col min="13820" max="13820" width="16.5546875" style="119" customWidth="1"/>
    <col min="13821" max="13822" width="1.6640625" style="119" customWidth="1"/>
    <col min="13823" max="13823" width="13.5546875" style="119" customWidth="1"/>
    <col min="13824" max="13824" width="1.6640625" style="119" customWidth="1"/>
    <col min="13825" max="13825" width="19.109375" style="119" customWidth="1"/>
    <col min="13826" max="13826" width="1.6640625" style="119" customWidth="1"/>
    <col min="13827" max="13827" width="24.88671875" style="119" customWidth="1"/>
    <col min="13828" max="13828" width="13.88671875" style="119" customWidth="1"/>
    <col min="13829" max="13829" width="13.44140625" style="119" bestFit="1" customWidth="1"/>
    <col min="13830" max="13830" width="1.44140625" style="119" customWidth="1"/>
    <col min="13831" max="13831" width="13.44140625" style="119" bestFit="1" customWidth="1"/>
    <col min="13832" max="14073" width="8.88671875" style="119"/>
    <col min="14074" max="14074" width="3.6640625" style="119" customWidth="1"/>
    <col min="14075" max="14075" width="1.6640625" style="119" customWidth="1"/>
    <col min="14076" max="14076" width="16.5546875" style="119" customWidth="1"/>
    <col min="14077" max="14078" width="1.6640625" style="119" customWidth="1"/>
    <col min="14079" max="14079" width="13.5546875" style="119" customWidth="1"/>
    <col min="14080" max="14080" width="1.6640625" style="119" customWidth="1"/>
    <col min="14081" max="14081" width="19.109375" style="119" customWidth="1"/>
    <col min="14082" max="14082" width="1.6640625" style="119" customWidth="1"/>
    <col min="14083" max="14083" width="24.88671875" style="119" customWidth="1"/>
    <col min="14084" max="14084" width="13.88671875" style="119" customWidth="1"/>
    <col min="14085" max="14085" width="13.44140625" style="119" bestFit="1" customWidth="1"/>
    <col min="14086" max="14086" width="1.44140625" style="119" customWidth="1"/>
    <col min="14087" max="14087" width="13.44140625" style="119" bestFit="1" customWidth="1"/>
    <col min="14088" max="14329" width="8.88671875" style="119"/>
    <col min="14330" max="14330" width="3.6640625" style="119" customWidth="1"/>
    <col min="14331" max="14331" width="1.6640625" style="119" customWidth="1"/>
    <col min="14332" max="14332" width="16.5546875" style="119" customWidth="1"/>
    <col min="14333" max="14334" width="1.6640625" style="119" customWidth="1"/>
    <col min="14335" max="14335" width="13.5546875" style="119" customWidth="1"/>
    <col min="14336" max="14336" width="1.6640625" style="119" customWidth="1"/>
    <col min="14337" max="14337" width="19.109375" style="119" customWidth="1"/>
    <col min="14338" max="14338" width="1.6640625" style="119" customWidth="1"/>
    <col min="14339" max="14339" width="24.88671875" style="119" customWidth="1"/>
    <col min="14340" max="14340" width="13.88671875" style="119" customWidth="1"/>
    <col min="14341" max="14341" width="13.44140625" style="119" bestFit="1" customWidth="1"/>
    <col min="14342" max="14342" width="1.44140625" style="119" customWidth="1"/>
    <col min="14343" max="14343" width="13.44140625" style="119" bestFit="1" customWidth="1"/>
    <col min="14344" max="14585" width="8.88671875" style="119"/>
    <col min="14586" max="14586" width="3.6640625" style="119" customWidth="1"/>
    <col min="14587" max="14587" width="1.6640625" style="119" customWidth="1"/>
    <col min="14588" max="14588" width="16.5546875" style="119" customWidth="1"/>
    <col min="14589" max="14590" width="1.6640625" style="119" customWidth="1"/>
    <col min="14591" max="14591" width="13.5546875" style="119" customWidth="1"/>
    <col min="14592" max="14592" width="1.6640625" style="119" customWidth="1"/>
    <col min="14593" max="14593" width="19.109375" style="119" customWidth="1"/>
    <col min="14594" max="14594" width="1.6640625" style="119" customWidth="1"/>
    <col min="14595" max="14595" width="24.88671875" style="119" customWidth="1"/>
    <col min="14596" max="14596" width="13.88671875" style="119" customWidth="1"/>
    <col min="14597" max="14597" width="13.44140625" style="119" bestFit="1" customWidth="1"/>
    <col min="14598" max="14598" width="1.44140625" style="119" customWidth="1"/>
    <col min="14599" max="14599" width="13.44140625" style="119" bestFit="1" customWidth="1"/>
    <col min="14600" max="14841" width="8.88671875" style="119"/>
    <col min="14842" max="14842" width="3.6640625" style="119" customWidth="1"/>
    <col min="14843" max="14843" width="1.6640625" style="119" customWidth="1"/>
    <col min="14844" max="14844" width="16.5546875" style="119" customWidth="1"/>
    <col min="14845" max="14846" width="1.6640625" style="119" customWidth="1"/>
    <col min="14847" max="14847" width="13.5546875" style="119" customWidth="1"/>
    <col min="14848" max="14848" width="1.6640625" style="119" customWidth="1"/>
    <col min="14849" max="14849" width="19.109375" style="119" customWidth="1"/>
    <col min="14850" max="14850" width="1.6640625" style="119" customWidth="1"/>
    <col min="14851" max="14851" width="24.88671875" style="119" customWidth="1"/>
    <col min="14852" max="14852" width="13.88671875" style="119" customWidth="1"/>
    <col min="14853" max="14853" width="13.44140625" style="119" bestFit="1" customWidth="1"/>
    <col min="14854" max="14854" width="1.44140625" style="119" customWidth="1"/>
    <col min="14855" max="14855" width="13.44140625" style="119" bestFit="1" customWidth="1"/>
    <col min="14856" max="15097" width="8.88671875" style="119"/>
    <col min="15098" max="15098" width="3.6640625" style="119" customWidth="1"/>
    <col min="15099" max="15099" width="1.6640625" style="119" customWidth="1"/>
    <col min="15100" max="15100" width="16.5546875" style="119" customWidth="1"/>
    <col min="15101" max="15102" width="1.6640625" style="119" customWidth="1"/>
    <col min="15103" max="15103" width="13.5546875" style="119" customWidth="1"/>
    <col min="15104" max="15104" width="1.6640625" style="119" customWidth="1"/>
    <col min="15105" max="15105" width="19.109375" style="119" customWidth="1"/>
    <col min="15106" max="15106" width="1.6640625" style="119" customWidth="1"/>
    <col min="15107" max="15107" width="24.88671875" style="119" customWidth="1"/>
    <col min="15108" max="15108" width="13.88671875" style="119" customWidth="1"/>
    <col min="15109" max="15109" width="13.44140625" style="119" bestFit="1" customWidth="1"/>
    <col min="15110" max="15110" width="1.44140625" style="119" customWidth="1"/>
    <col min="15111" max="15111" width="13.44140625" style="119" bestFit="1" customWidth="1"/>
    <col min="15112" max="15353" width="8.88671875" style="119"/>
    <col min="15354" max="15354" width="3.6640625" style="119" customWidth="1"/>
    <col min="15355" max="15355" width="1.6640625" style="119" customWidth="1"/>
    <col min="15356" max="15356" width="16.5546875" style="119" customWidth="1"/>
    <col min="15357" max="15358" width="1.6640625" style="119" customWidth="1"/>
    <col min="15359" max="15359" width="13.5546875" style="119" customWidth="1"/>
    <col min="15360" max="15360" width="1.6640625" style="119" customWidth="1"/>
    <col min="15361" max="15361" width="19.109375" style="119" customWidth="1"/>
    <col min="15362" max="15362" width="1.6640625" style="119" customWidth="1"/>
    <col min="15363" max="15363" width="24.88671875" style="119" customWidth="1"/>
    <col min="15364" max="15364" width="13.88671875" style="119" customWidth="1"/>
    <col min="15365" max="15365" width="13.44140625" style="119" bestFit="1" customWidth="1"/>
    <col min="15366" max="15366" width="1.44140625" style="119" customWidth="1"/>
    <col min="15367" max="15367" width="13.44140625" style="119" bestFit="1" customWidth="1"/>
    <col min="15368" max="15609" width="8.88671875" style="119"/>
    <col min="15610" max="15610" width="3.6640625" style="119" customWidth="1"/>
    <col min="15611" max="15611" width="1.6640625" style="119" customWidth="1"/>
    <col min="15612" max="15612" width="16.5546875" style="119" customWidth="1"/>
    <col min="15613" max="15614" width="1.6640625" style="119" customWidth="1"/>
    <col min="15615" max="15615" width="13.5546875" style="119" customWidth="1"/>
    <col min="15616" max="15616" width="1.6640625" style="119" customWidth="1"/>
    <col min="15617" max="15617" width="19.109375" style="119" customWidth="1"/>
    <col min="15618" max="15618" width="1.6640625" style="119" customWidth="1"/>
    <col min="15619" max="15619" width="24.88671875" style="119" customWidth="1"/>
    <col min="15620" max="15620" width="13.88671875" style="119" customWidth="1"/>
    <col min="15621" max="15621" width="13.44140625" style="119" bestFit="1" customWidth="1"/>
    <col min="15622" max="15622" width="1.44140625" style="119" customWidth="1"/>
    <col min="15623" max="15623" width="13.44140625" style="119" bestFit="1" customWidth="1"/>
    <col min="15624" max="15865" width="8.88671875" style="119"/>
    <col min="15866" max="15866" width="3.6640625" style="119" customWidth="1"/>
    <col min="15867" max="15867" width="1.6640625" style="119" customWidth="1"/>
    <col min="15868" max="15868" width="16.5546875" style="119" customWidth="1"/>
    <col min="15869" max="15870" width="1.6640625" style="119" customWidth="1"/>
    <col min="15871" max="15871" width="13.5546875" style="119" customWidth="1"/>
    <col min="15872" max="15872" width="1.6640625" style="119" customWidth="1"/>
    <col min="15873" max="15873" width="19.109375" style="119" customWidth="1"/>
    <col min="15874" max="15874" width="1.6640625" style="119" customWidth="1"/>
    <col min="15875" max="15875" width="24.88671875" style="119" customWidth="1"/>
    <col min="15876" max="15876" width="13.88671875" style="119" customWidth="1"/>
    <col min="15877" max="15877" width="13.44140625" style="119" bestFit="1" customWidth="1"/>
    <col min="15878" max="15878" width="1.44140625" style="119" customWidth="1"/>
    <col min="15879" max="15879" width="13.44140625" style="119" bestFit="1" customWidth="1"/>
    <col min="15880" max="16121" width="8.88671875" style="119"/>
    <col min="16122" max="16122" width="3.6640625" style="119" customWidth="1"/>
    <col min="16123" max="16123" width="1.6640625" style="119" customWidth="1"/>
    <col min="16124" max="16124" width="16.5546875" style="119" customWidth="1"/>
    <col min="16125" max="16126" width="1.6640625" style="119" customWidth="1"/>
    <col min="16127" max="16127" width="13.5546875" style="119" customWidth="1"/>
    <col min="16128" max="16128" width="1.6640625" style="119" customWidth="1"/>
    <col min="16129" max="16129" width="19.109375" style="119" customWidth="1"/>
    <col min="16130" max="16130" width="1.6640625" style="119" customWidth="1"/>
    <col min="16131" max="16131" width="24.88671875" style="119" customWidth="1"/>
    <col min="16132" max="16132" width="13.88671875" style="119" customWidth="1"/>
    <col min="16133" max="16133" width="13.44140625" style="119" bestFit="1" customWidth="1"/>
    <col min="16134" max="16134" width="1.44140625" style="119" customWidth="1"/>
    <col min="16135" max="16135" width="13.44140625" style="119" bestFit="1" customWidth="1"/>
    <col min="16136" max="16376" width="8.88671875" style="119"/>
    <col min="16377" max="16384" width="9.109375" style="119" customWidth="1"/>
  </cols>
  <sheetData>
    <row r="1" spans="1:19" x14ac:dyDescent="0.25">
      <c r="M1" s="298" t="s">
        <v>13</v>
      </c>
      <c r="Q1" s="95" t="s">
        <v>141</v>
      </c>
      <c r="R1" s="298"/>
    </row>
    <row r="2" spans="1:19" s="95" customFormat="1" x14ac:dyDescent="0.25">
      <c r="A2" s="295" t="s">
        <v>44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9" s="95" customFormat="1" x14ac:dyDescent="0.25">
      <c r="A3" s="295" t="s">
        <v>140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19" s="95" customFormat="1" ht="13.2" customHeight="1" x14ac:dyDescent="0.25">
      <c r="A4" s="293" t="s">
        <v>139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9" s="95" customFormat="1" ht="13.2" customHeight="1" x14ac:dyDescent="0.2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19" x14ac:dyDescent="0.25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1:19" ht="13.2" customHeight="1" x14ac:dyDescent="0.25">
      <c r="A7" s="43"/>
      <c r="B7" s="43"/>
      <c r="C7" s="43"/>
      <c r="D7" s="295" t="s">
        <v>138</v>
      </c>
      <c r="E7" s="295"/>
      <c r="F7" s="295"/>
      <c r="G7" s="295"/>
      <c r="H7" s="286"/>
      <c r="I7" s="295" t="s">
        <v>137</v>
      </c>
      <c r="J7" s="295"/>
      <c r="K7" s="295"/>
      <c r="L7" s="295"/>
      <c r="M7" s="295"/>
      <c r="O7" s="295" t="s">
        <v>136</v>
      </c>
      <c r="P7" s="295"/>
      <c r="Q7" s="295"/>
      <c r="R7" s="295"/>
      <c r="S7" s="295"/>
    </row>
    <row r="8" spans="1:19" ht="13.2" customHeight="1" x14ac:dyDescent="0.25">
      <c r="A8" s="43"/>
      <c r="B8" s="43"/>
      <c r="C8" s="43"/>
      <c r="D8" s="293" t="s">
        <v>135</v>
      </c>
      <c r="E8" s="292" t="s">
        <v>134</v>
      </c>
      <c r="F8" s="43"/>
      <c r="G8" s="43"/>
      <c r="H8" s="43"/>
      <c r="I8" s="43"/>
      <c r="J8" s="293" t="s">
        <v>135</v>
      </c>
      <c r="K8" s="292" t="s">
        <v>134</v>
      </c>
      <c r="L8" s="43"/>
      <c r="M8" s="43"/>
      <c r="O8" s="293" t="s">
        <v>135</v>
      </c>
      <c r="P8" s="292" t="s">
        <v>134</v>
      </c>
      <c r="Q8" s="43"/>
      <c r="R8" s="43"/>
    </row>
    <row r="9" spans="1:19" ht="12.75" customHeight="1" x14ac:dyDescent="0.25">
      <c r="A9" s="43"/>
      <c r="B9" s="43"/>
      <c r="C9" s="43"/>
      <c r="D9" s="293"/>
      <c r="E9" s="292"/>
      <c r="F9" s="43"/>
      <c r="G9" s="43"/>
      <c r="H9" s="43"/>
      <c r="I9" s="43"/>
      <c r="J9" s="293"/>
      <c r="K9" s="292"/>
      <c r="L9" s="43"/>
      <c r="M9" s="43"/>
      <c r="O9" s="293"/>
      <c r="P9" s="292"/>
      <c r="Q9" s="43"/>
      <c r="R9" s="43"/>
    </row>
    <row r="10" spans="1:19" s="95" customFormat="1" ht="56.4" customHeight="1" x14ac:dyDescent="0.25">
      <c r="A10" s="291" t="s">
        <v>133</v>
      </c>
      <c r="B10" s="294"/>
      <c r="C10" s="294" t="s">
        <v>132</v>
      </c>
      <c r="D10" s="293"/>
      <c r="E10" s="292"/>
      <c r="F10" s="291" t="s">
        <v>131</v>
      </c>
      <c r="G10" s="291" t="s">
        <v>130</v>
      </c>
      <c r="H10" s="291"/>
      <c r="I10" s="290"/>
      <c r="J10" s="293"/>
      <c r="K10" s="292"/>
      <c r="L10" s="291" t="s">
        <v>131</v>
      </c>
      <c r="M10" s="291" t="s">
        <v>130</v>
      </c>
      <c r="O10" s="293"/>
      <c r="P10" s="292"/>
      <c r="Q10" s="291" t="s">
        <v>131</v>
      </c>
      <c r="R10" s="291" t="s">
        <v>130</v>
      </c>
    </row>
    <row r="11" spans="1:19" s="95" customFormat="1" x14ac:dyDescent="0.25">
      <c r="A11" s="288">
        <v>-1</v>
      </c>
      <c r="B11" s="288"/>
      <c r="C11" s="288">
        <v>-2</v>
      </c>
      <c r="D11" s="289">
        <f>C11-1</f>
        <v>-3</v>
      </c>
      <c r="E11" s="288">
        <f>D11-1</f>
        <v>-4</v>
      </c>
      <c r="F11" s="288">
        <f>E11-1</f>
        <v>-5</v>
      </c>
      <c r="G11" s="288">
        <f>F11-1</f>
        <v>-6</v>
      </c>
      <c r="H11" s="288"/>
      <c r="I11" s="290"/>
      <c r="J11" s="289">
        <f>G11-1</f>
        <v>-7</v>
      </c>
      <c r="K11" s="288">
        <f>J11-1</f>
        <v>-8</v>
      </c>
      <c r="L11" s="288">
        <f>K11-1</f>
        <v>-9</v>
      </c>
      <c r="M11" s="288">
        <f>L11-1</f>
        <v>-10</v>
      </c>
      <c r="O11" s="289">
        <f>M11-1</f>
        <v>-11</v>
      </c>
      <c r="P11" s="288">
        <f>O11-1</f>
        <v>-12</v>
      </c>
      <c r="Q11" s="288">
        <f>P11-1</f>
        <v>-13</v>
      </c>
      <c r="R11" s="288">
        <f>Q11-1</f>
        <v>-14</v>
      </c>
    </row>
    <row r="12" spans="1:19" ht="7.2" customHeight="1" x14ac:dyDescent="0.25">
      <c r="A12" s="43"/>
      <c r="B12" s="43"/>
      <c r="C12" s="43"/>
      <c r="D12" s="124"/>
      <c r="E12" s="286"/>
      <c r="F12" s="43"/>
      <c r="G12" s="43"/>
      <c r="H12" s="43"/>
      <c r="I12" s="274"/>
      <c r="J12" s="287"/>
      <c r="K12" s="286"/>
      <c r="L12" s="43"/>
      <c r="M12" s="43"/>
    </row>
    <row r="13" spans="1:19" x14ac:dyDescent="0.25">
      <c r="A13" s="43"/>
      <c r="B13" s="43"/>
      <c r="C13" s="285"/>
      <c r="D13" s="278"/>
      <c r="E13" s="277" t="s">
        <v>13</v>
      </c>
      <c r="F13" s="277"/>
      <c r="G13" s="276" t="s">
        <v>13</v>
      </c>
      <c r="H13" s="276"/>
      <c r="I13" s="274"/>
      <c r="J13" s="284"/>
      <c r="K13" s="277" t="s">
        <v>13</v>
      </c>
      <c r="L13" s="277"/>
      <c r="M13" s="276" t="s">
        <v>13</v>
      </c>
    </row>
    <row r="14" spans="1:19" x14ac:dyDescent="0.25">
      <c r="A14" s="43">
        <v>1</v>
      </c>
      <c r="B14" s="43"/>
      <c r="C14" s="279" t="s">
        <v>129</v>
      </c>
      <c r="D14" s="278">
        <v>3477986</v>
      </c>
      <c r="E14" s="280">
        <v>514230.66</v>
      </c>
      <c r="F14" s="282">
        <v>134076</v>
      </c>
      <c r="G14" s="276">
        <f>SUM(D14:E14)-F14</f>
        <v>3858140.66</v>
      </c>
      <c r="H14" s="276"/>
      <c r="I14" s="274"/>
      <c r="J14" s="281">
        <v>3361616.4624999999</v>
      </c>
      <c r="K14" s="280">
        <v>514230.66</v>
      </c>
      <c r="L14" s="280">
        <v>134076</v>
      </c>
      <c r="M14" s="276">
        <f>SUM(J14:K14)-L14</f>
        <v>3741771.1225000001</v>
      </c>
      <c r="O14" s="281">
        <f>'Non-FGD'!E$40</f>
        <v>3242563.7725000004</v>
      </c>
      <c r="P14" s="280">
        <v>514230.66</v>
      </c>
      <c r="Q14" s="280">
        <v>134076</v>
      </c>
      <c r="R14" s="276">
        <f>SUM(O14:P14)-Q14</f>
        <v>3622718.4325000006</v>
      </c>
    </row>
    <row r="15" spans="1:19" x14ac:dyDescent="0.25">
      <c r="A15" s="43">
        <f>A14+1</f>
        <v>2</v>
      </c>
      <c r="B15" s="43"/>
      <c r="C15" s="279" t="s">
        <v>128</v>
      </c>
      <c r="D15" s="278">
        <v>3413744</v>
      </c>
      <c r="E15" s="280">
        <v>751106.9</v>
      </c>
      <c r="F15" s="282">
        <v>0</v>
      </c>
      <c r="G15" s="276">
        <f>SUM(D15:E15)-F15</f>
        <v>4164850.9</v>
      </c>
      <c r="H15" s="276"/>
      <c r="I15" s="274"/>
      <c r="J15" s="281">
        <v>3297824.0125000002</v>
      </c>
      <c r="K15" s="280">
        <v>751106.9</v>
      </c>
      <c r="L15" s="280">
        <v>0</v>
      </c>
      <c r="M15" s="276">
        <f>SUM(J15:K15)-L15</f>
        <v>4048930.9125000001</v>
      </c>
      <c r="O15" s="281">
        <f>'Non-FGD'!F$40</f>
        <v>3179120.4524999997</v>
      </c>
      <c r="P15" s="280">
        <v>751106.9</v>
      </c>
      <c r="Q15" s="280">
        <v>0</v>
      </c>
      <c r="R15" s="276">
        <f>SUM(O15:P15)-Q15</f>
        <v>3930227.3524999996</v>
      </c>
    </row>
    <row r="16" spans="1:19" x14ac:dyDescent="0.25">
      <c r="A16" s="43">
        <f>A15+1</f>
        <v>3</v>
      </c>
      <c r="B16" s="43"/>
      <c r="C16" s="279" t="s">
        <v>127</v>
      </c>
      <c r="D16" s="278">
        <v>3344436</v>
      </c>
      <c r="E16" s="280">
        <v>749547.42</v>
      </c>
      <c r="F16" s="282">
        <v>0</v>
      </c>
      <c r="G16" s="276">
        <f>SUM(D16:E16)-F16</f>
        <v>4093983.42</v>
      </c>
      <c r="H16" s="276"/>
      <c r="I16" s="274"/>
      <c r="J16" s="281">
        <v>3228865.5300000003</v>
      </c>
      <c r="K16" s="280">
        <v>749547.42</v>
      </c>
      <c r="L16" s="280">
        <v>0</v>
      </c>
      <c r="M16" s="276">
        <f>SUM(J16:K16)-L16</f>
        <v>3978412.95</v>
      </c>
      <c r="O16" s="281">
        <f>'Non-FGD'!G$40</f>
        <v>3113440.7199999997</v>
      </c>
      <c r="P16" s="280">
        <v>749547.42</v>
      </c>
      <c r="Q16" s="280">
        <v>0</v>
      </c>
      <c r="R16" s="276">
        <f>SUM(O16:P16)-Q16</f>
        <v>3862988.1399999997</v>
      </c>
    </row>
    <row r="17" spans="1:18" x14ac:dyDescent="0.25">
      <c r="A17" s="43">
        <f>A16+1</f>
        <v>4</v>
      </c>
      <c r="B17" s="43"/>
      <c r="C17" s="283" t="s">
        <v>126</v>
      </c>
      <c r="D17" s="277">
        <v>3421619</v>
      </c>
      <c r="E17" s="280">
        <v>901719.15</v>
      </c>
      <c r="F17" s="282">
        <v>0</v>
      </c>
      <c r="G17" s="276">
        <f>SUM(D17:E17)-F17</f>
        <v>4323338.1500000004</v>
      </c>
      <c r="H17" s="276"/>
      <c r="I17" s="274"/>
      <c r="J17" s="281">
        <v>3306718.1170182615</v>
      </c>
      <c r="K17" s="280">
        <v>901719.15</v>
      </c>
      <c r="L17" s="280">
        <v>0</v>
      </c>
      <c r="M17" s="276">
        <f>SUM(J17:K17)-L17</f>
        <v>4208437.2670182614</v>
      </c>
      <c r="O17" s="281">
        <f>'Non-FGD'!H$40</f>
        <v>3191902.2370182616</v>
      </c>
      <c r="P17" s="280">
        <v>901719.15</v>
      </c>
      <c r="Q17" s="280">
        <v>0</v>
      </c>
      <c r="R17" s="276">
        <f>SUM(O17:P17)-Q17</f>
        <v>4093621.3870182615</v>
      </c>
    </row>
    <row r="18" spans="1:18" x14ac:dyDescent="0.25">
      <c r="A18" s="43">
        <f>A17+1</f>
        <v>5</v>
      </c>
      <c r="B18" s="43"/>
      <c r="C18" s="279" t="s">
        <v>125</v>
      </c>
      <c r="D18" s="277">
        <v>3460296</v>
      </c>
      <c r="E18" s="280">
        <v>902729.65</v>
      </c>
      <c r="F18" s="282">
        <v>119500</v>
      </c>
      <c r="G18" s="276">
        <f>SUM(D18:E18)-F18</f>
        <v>4243525.6500000004</v>
      </c>
      <c r="H18" s="276"/>
      <c r="I18" s="274"/>
      <c r="J18" s="281">
        <v>3345370.634933277</v>
      </c>
      <c r="K18" s="280">
        <v>902729.65</v>
      </c>
      <c r="L18" s="280">
        <v>119500</v>
      </c>
      <c r="M18" s="276">
        <f>SUM(J18:K18)-L18</f>
        <v>4128600.2849332774</v>
      </c>
      <c r="O18" s="281">
        <f>'Non-FGD'!I$40</f>
        <v>3230438.8649332765</v>
      </c>
      <c r="P18" s="280">
        <v>902729.65</v>
      </c>
      <c r="Q18" s="280">
        <v>119500</v>
      </c>
      <c r="R18" s="276">
        <f>SUM(O18:P18)-Q18</f>
        <v>4013668.5149332765</v>
      </c>
    </row>
    <row r="19" spans="1:18" x14ac:dyDescent="0.25">
      <c r="A19" s="43">
        <f>A18+1</f>
        <v>6</v>
      </c>
      <c r="B19" s="43"/>
      <c r="C19" s="279" t="s">
        <v>124</v>
      </c>
      <c r="D19" s="277">
        <v>3492141</v>
      </c>
      <c r="E19" s="280">
        <v>890223.48</v>
      </c>
      <c r="F19" s="282">
        <v>0</v>
      </c>
      <c r="G19" s="276">
        <f>SUM(D19:E19)-F19</f>
        <v>4382364.4800000004</v>
      </c>
      <c r="H19" s="276"/>
      <c r="I19" s="274"/>
      <c r="J19" s="281">
        <v>3377728.3508003303</v>
      </c>
      <c r="K19" s="280">
        <v>890223.48</v>
      </c>
      <c r="L19" s="280">
        <v>0</v>
      </c>
      <c r="M19" s="276">
        <f>SUM(J19:K19)-L19</f>
        <v>4267951.8308003303</v>
      </c>
      <c r="O19" s="281">
        <f>'Non-FGD'!J$40</f>
        <v>3263197.8108003302</v>
      </c>
      <c r="P19" s="280">
        <v>890223.48</v>
      </c>
      <c r="Q19" s="280">
        <v>0</v>
      </c>
      <c r="R19" s="276">
        <f>SUM(O19:P19)-Q19</f>
        <v>4153421.2908003302</v>
      </c>
    </row>
    <row r="20" spans="1:18" x14ac:dyDescent="0.25">
      <c r="A20" s="43">
        <f>A19+1</f>
        <v>7</v>
      </c>
      <c r="B20" s="43"/>
      <c r="C20" s="279" t="s">
        <v>123</v>
      </c>
      <c r="D20" s="277">
        <v>3370617</v>
      </c>
      <c r="E20" s="280">
        <v>761093.3</v>
      </c>
      <c r="F20" s="282">
        <v>13073</v>
      </c>
      <c r="G20" s="276">
        <f>SUM(D20:E20)-F20</f>
        <v>4118637.3</v>
      </c>
      <c r="H20" s="276"/>
      <c r="I20" s="274"/>
      <c r="J20" s="281">
        <v>3258937.7717342344</v>
      </c>
      <c r="K20" s="280">
        <v>761093.3</v>
      </c>
      <c r="L20" s="280">
        <v>13073</v>
      </c>
      <c r="M20" s="276">
        <f>SUM(J20:K20)-L20</f>
        <v>4006958.0717342347</v>
      </c>
      <c r="O20" s="281">
        <f>'Non-FGD'!K$40</f>
        <v>3147050.101734234</v>
      </c>
      <c r="P20" s="280">
        <v>761093.3</v>
      </c>
      <c r="Q20" s="280">
        <v>13073</v>
      </c>
      <c r="R20" s="276">
        <f>SUM(O20:P20)-Q20</f>
        <v>3895070.4017342338</v>
      </c>
    </row>
    <row r="21" spans="1:18" x14ac:dyDescent="0.25">
      <c r="A21" s="43">
        <f>A20+1</f>
        <v>8</v>
      </c>
      <c r="B21" s="43"/>
      <c r="C21" s="279" t="s">
        <v>122</v>
      </c>
      <c r="D21" s="278">
        <v>3465379</v>
      </c>
      <c r="E21" s="280">
        <v>838037.54</v>
      </c>
      <c r="F21" s="282">
        <v>0</v>
      </c>
      <c r="G21" s="276">
        <f>SUM(D21:E21)-F21</f>
        <v>4303416.54</v>
      </c>
      <c r="H21" s="276"/>
      <c r="I21" s="274"/>
      <c r="J21" s="281">
        <v>3354574.8481368162</v>
      </c>
      <c r="K21" s="280">
        <v>838037.54</v>
      </c>
      <c r="L21" s="280">
        <v>0</v>
      </c>
      <c r="M21" s="276">
        <f>SUM(J21:K21)-L21</f>
        <v>4192612.3881368162</v>
      </c>
      <c r="O21" s="281">
        <f>'Non-FGD'!L$40</f>
        <v>3243455.0581368161</v>
      </c>
      <c r="P21" s="280">
        <v>838037.54</v>
      </c>
      <c r="Q21" s="280">
        <v>0</v>
      </c>
      <c r="R21" s="276">
        <f>SUM(O21:P21)-Q21</f>
        <v>4081492.5981368162</v>
      </c>
    </row>
    <row r="22" spans="1:18" x14ac:dyDescent="0.25">
      <c r="A22" s="43">
        <f>A21+1</f>
        <v>9</v>
      </c>
      <c r="B22" s="43"/>
      <c r="C22" s="279" t="s">
        <v>121</v>
      </c>
      <c r="D22" s="278">
        <v>3339166</v>
      </c>
      <c r="E22" s="280">
        <v>853952.45</v>
      </c>
      <c r="F22" s="282">
        <v>0</v>
      </c>
      <c r="G22" s="276">
        <f>SUM(D22:E22)-F22</f>
        <v>4193118.45</v>
      </c>
      <c r="H22" s="276"/>
      <c r="I22" s="274"/>
      <c r="J22" s="281">
        <v>3229078.4827279453</v>
      </c>
      <c r="K22" s="280">
        <v>853952.45</v>
      </c>
      <c r="L22" s="280">
        <v>0</v>
      </c>
      <c r="M22" s="276">
        <f>SUM(J22:K22)-L22</f>
        <v>4083030.932727945</v>
      </c>
      <c r="O22" s="281">
        <f>'Non-FGD'!M$40</f>
        <v>3118522.1127279457</v>
      </c>
      <c r="P22" s="280">
        <v>853952.45</v>
      </c>
      <c r="Q22" s="280">
        <v>0</v>
      </c>
      <c r="R22" s="276">
        <f>SUM(O22:P22)-Q22</f>
        <v>3972474.5627279459</v>
      </c>
    </row>
    <row r="23" spans="1:18" x14ac:dyDescent="0.25">
      <c r="A23" s="43">
        <f>A22+1</f>
        <v>10</v>
      </c>
      <c r="B23" s="43"/>
      <c r="C23" s="283" t="s">
        <v>120</v>
      </c>
      <c r="D23" s="278">
        <v>3426802</v>
      </c>
      <c r="E23" s="280">
        <v>934401.61</v>
      </c>
      <c r="F23" s="282">
        <v>5100</v>
      </c>
      <c r="G23" s="276">
        <f>SUM(D23:E23)-F23</f>
        <v>4356103.6100000003</v>
      </c>
      <c r="H23" s="276"/>
      <c r="I23" s="274"/>
      <c r="J23" s="281">
        <v>3317287.8887211219</v>
      </c>
      <c r="K23" s="280">
        <v>934401.61</v>
      </c>
      <c r="L23" s="280">
        <v>5100</v>
      </c>
      <c r="M23" s="276">
        <f>SUM(J23:K23)-L23</f>
        <v>4246589.4987211218</v>
      </c>
      <c r="O23" s="281">
        <f>'Non-FGD'!N$40</f>
        <v>3207181.9187211217</v>
      </c>
      <c r="P23" s="280">
        <v>934401.61</v>
      </c>
      <c r="Q23" s="280">
        <v>5100</v>
      </c>
      <c r="R23" s="276">
        <f>SUM(O23:P23)-Q23</f>
        <v>4136483.5287211216</v>
      </c>
    </row>
    <row r="24" spans="1:18" x14ac:dyDescent="0.25">
      <c r="A24" s="43">
        <f>A23+1</f>
        <v>11</v>
      </c>
      <c r="B24" s="43"/>
      <c r="C24" s="279" t="s">
        <v>119</v>
      </c>
      <c r="D24" s="278">
        <v>3288715</v>
      </c>
      <c r="E24" s="280">
        <v>848222.64</v>
      </c>
      <c r="F24" s="282">
        <v>0</v>
      </c>
      <c r="G24" s="276">
        <f>SUM(D24:E24)-F24</f>
        <v>4136937.64</v>
      </c>
      <c r="H24" s="276"/>
      <c r="I24" s="274"/>
      <c r="J24" s="281">
        <v>3179486.1141666668</v>
      </c>
      <c r="K24" s="280">
        <v>848222.64</v>
      </c>
      <c r="L24" s="280">
        <v>0</v>
      </c>
      <c r="M24" s="276">
        <f>SUM(J24:K24)-L24</f>
        <v>4027708.7541666669</v>
      </c>
      <c r="O24" s="281">
        <f>'Non-FGD'!O$40</f>
        <v>3069604.0941666667</v>
      </c>
      <c r="P24" s="280">
        <v>848222.64</v>
      </c>
      <c r="Q24" s="280">
        <v>0</v>
      </c>
      <c r="R24" s="276">
        <f>SUM(O24:P24)-Q24</f>
        <v>3917826.7341666669</v>
      </c>
    </row>
    <row r="25" spans="1:18" x14ac:dyDescent="0.25">
      <c r="A25" s="43">
        <f>A24+1</f>
        <v>12</v>
      </c>
      <c r="B25" s="43"/>
      <c r="C25" s="279" t="s">
        <v>118</v>
      </c>
      <c r="D25" s="278">
        <v>3237579</v>
      </c>
      <c r="E25" s="280">
        <v>814550.89</v>
      </c>
      <c r="F25" s="282">
        <v>0</v>
      </c>
      <c r="G25" s="276">
        <f>SUM(D25:E25)-F25</f>
        <v>4052129.89</v>
      </c>
      <c r="H25" s="276"/>
      <c r="I25" s="274"/>
      <c r="J25" s="281">
        <v>3128649.7841666667</v>
      </c>
      <c r="K25" s="280">
        <v>814550.89</v>
      </c>
      <c r="L25" s="280">
        <v>0</v>
      </c>
      <c r="M25" s="276">
        <f>SUM(J25:K25)-L25</f>
        <v>3943200.6741666668</v>
      </c>
      <c r="O25" s="281">
        <f>'Non-FGD'!P$40</f>
        <v>3018917.354166667</v>
      </c>
      <c r="P25" s="280">
        <v>814550.89</v>
      </c>
      <c r="Q25" s="280">
        <v>0</v>
      </c>
      <c r="R25" s="276">
        <f>SUM(O25:P25)-Q25</f>
        <v>3833468.2441666671</v>
      </c>
    </row>
    <row r="26" spans="1:18" x14ac:dyDescent="0.25">
      <c r="A26" s="43"/>
      <c r="B26" s="43"/>
      <c r="C26" s="279"/>
      <c r="D26" s="278"/>
      <c r="E26" s="277"/>
      <c r="F26" s="277"/>
      <c r="G26" s="276"/>
      <c r="H26" s="276"/>
      <c r="I26" s="274"/>
      <c r="J26" s="277"/>
      <c r="K26" s="277"/>
      <c r="L26" s="277"/>
      <c r="M26" s="276"/>
      <c r="O26" s="277"/>
      <c r="P26" s="277"/>
      <c r="Q26" s="277"/>
      <c r="R26" s="276"/>
    </row>
    <row r="27" spans="1:18" ht="13.8" thickBot="1" x14ac:dyDescent="0.3">
      <c r="A27" s="43">
        <v>13</v>
      </c>
      <c r="B27" s="43"/>
      <c r="C27" s="95" t="s">
        <v>45</v>
      </c>
      <c r="D27" s="273">
        <f>SUM(D14:D25)</f>
        <v>40738480</v>
      </c>
      <c r="E27" s="273">
        <f>SUM(E14:E26)</f>
        <v>9759815.6900000013</v>
      </c>
      <c r="F27" s="273">
        <f>SUM(F14:F26)</f>
        <v>271749</v>
      </c>
      <c r="G27" s="272">
        <f>SUM(G14:G26)</f>
        <v>50226546.690000005</v>
      </c>
      <c r="H27" s="275"/>
      <c r="I27" s="274"/>
      <c r="J27" s="273">
        <f>SUM(J14:J26)</f>
        <v>39386137.99740532</v>
      </c>
      <c r="K27" s="273">
        <f>SUM(K14:K26)</f>
        <v>9759815.6900000013</v>
      </c>
      <c r="L27" s="273">
        <f>SUM(L14:L26)</f>
        <v>271749</v>
      </c>
      <c r="M27" s="272">
        <f>SUM(M14:M26)</f>
        <v>48874204.687405318</v>
      </c>
      <c r="O27" s="273">
        <f>SUM(O14:O26)</f>
        <v>38025394.49740532</v>
      </c>
      <c r="P27" s="273">
        <f>SUM(P14:P26)</f>
        <v>9759815.6900000013</v>
      </c>
      <c r="Q27" s="273">
        <f>SUM(Q14:Q26)</f>
        <v>271749</v>
      </c>
      <c r="R27" s="272">
        <f>SUM(R14:R26)</f>
        <v>47513461.187405318</v>
      </c>
    </row>
    <row r="28" spans="1:18" ht="13.8" thickTop="1" x14ac:dyDescent="0.25">
      <c r="A28" s="119" t="s">
        <v>13</v>
      </c>
      <c r="G28" s="271"/>
      <c r="H28" s="271"/>
      <c r="I28" s="270"/>
    </row>
    <row r="29" spans="1:18" x14ac:dyDescent="0.25">
      <c r="A29" s="119" t="s">
        <v>13</v>
      </c>
      <c r="B29" s="119" t="s">
        <v>13</v>
      </c>
      <c r="C29" s="119" t="s">
        <v>13</v>
      </c>
      <c r="I29" s="270"/>
    </row>
    <row r="30" spans="1:18" x14ac:dyDescent="0.25">
      <c r="A30" s="119" t="s">
        <v>13</v>
      </c>
      <c r="I30" s="270"/>
    </row>
    <row r="31" spans="1:18" x14ac:dyDescent="0.25">
      <c r="G31" s="269" t="s">
        <v>13</v>
      </c>
      <c r="H31" s="269"/>
    </row>
  </sheetData>
  <mergeCells count="12">
    <mergeCell ref="K8:K10"/>
    <mergeCell ref="I7:M7"/>
    <mergeCell ref="O8:O10"/>
    <mergeCell ref="P8:P10"/>
    <mergeCell ref="O7:S7"/>
    <mergeCell ref="A2:R2"/>
    <mergeCell ref="A3:R3"/>
    <mergeCell ref="A4:R4"/>
    <mergeCell ref="D8:D10"/>
    <mergeCell ref="E8:E10"/>
    <mergeCell ref="D7:G7"/>
    <mergeCell ref="J8:J10"/>
  </mergeCells>
  <pageMargins left="0.25" right="0.25" top="0.75" bottom="0.75" header="0.3" footer="0.3"/>
  <pageSetup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0" workbookViewId="0">
      <selection activeCell="E11" sqref="E11"/>
    </sheetView>
  </sheetViews>
  <sheetFormatPr defaultRowHeight="14.4" x14ac:dyDescent="0.3"/>
  <cols>
    <col min="1" max="1" width="11.44140625" customWidth="1"/>
    <col min="2" max="2" width="0.44140625" customWidth="1"/>
    <col min="3" max="3" width="48.6640625" customWidth="1"/>
    <col min="4" max="4" width="8.5546875" customWidth="1"/>
    <col min="5" max="14" width="18.109375" customWidth="1"/>
    <col min="15" max="15" width="21.5546875" customWidth="1"/>
    <col min="16" max="16" width="22.109375" customWidth="1"/>
  </cols>
  <sheetData>
    <row r="1" spans="1:16 16383:16384" ht="15" thickBot="1" x14ac:dyDescent="0.35"/>
    <row r="2" spans="1:16 16383:16384" x14ac:dyDescent="0.3">
      <c r="A2" s="67"/>
      <c r="B2" s="90"/>
      <c r="C2" s="84"/>
      <c r="D2" s="85"/>
      <c r="E2" s="262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6 16383:16384" ht="15" thickBot="1" x14ac:dyDescent="0.35">
      <c r="A3" s="260" t="s">
        <v>0</v>
      </c>
      <c r="B3" s="83"/>
      <c r="C3" s="6"/>
      <c r="D3" s="86"/>
      <c r="E3" s="265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16 16383:16384" ht="15" thickBot="1" x14ac:dyDescent="0.35">
      <c r="A4" s="261"/>
      <c r="B4" s="87"/>
      <c r="C4" s="88" t="s">
        <v>1</v>
      </c>
      <c r="D4" s="89"/>
      <c r="E4" s="64">
        <v>42432</v>
      </c>
      <c r="F4" s="64">
        <v>42463</v>
      </c>
      <c r="G4" s="64">
        <v>42494</v>
      </c>
      <c r="H4" s="64">
        <v>42525</v>
      </c>
      <c r="I4" s="64">
        <v>42556</v>
      </c>
      <c r="J4" s="64">
        <v>42587</v>
      </c>
      <c r="K4" s="64">
        <v>42618</v>
      </c>
      <c r="L4" s="64">
        <v>42649</v>
      </c>
      <c r="M4" s="64">
        <v>42680</v>
      </c>
      <c r="N4" s="103">
        <v>42711</v>
      </c>
      <c r="O4" s="103">
        <f>N4+30</f>
        <v>42741</v>
      </c>
      <c r="P4" s="103">
        <f>O4+30</f>
        <v>42771</v>
      </c>
      <c r="XFC4" t="s">
        <v>13</v>
      </c>
      <c r="XFD4" s="29" t="s">
        <v>13</v>
      </c>
    </row>
    <row r="5" spans="1:16 16383:16384" x14ac:dyDescent="0.3">
      <c r="A5" s="52">
        <v>1</v>
      </c>
      <c r="B5" s="8"/>
      <c r="C5" s="53" t="s">
        <v>2</v>
      </c>
      <c r="D5" s="16"/>
      <c r="E5" s="76">
        <v>316423584.88999999</v>
      </c>
      <c r="F5" s="65">
        <v>316536150.98000008</v>
      </c>
      <c r="G5" s="76">
        <v>316118198.14000005</v>
      </c>
      <c r="H5" s="65">
        <v>316280168.42000008</v>
      </c>
      <c r="I5" s="70">
        <v>316286225.84000003</v>
      </c>
      <c r="J5" s="70">
        <v>316304243.73999995</v>
      </c>
      <c r="K5" s="105">
        <v>316322748.30000001</v>
      </c>
      <c r="L5" s="65">
        <v>315971334.69999999</v>
      </c>
      <c r="M5" s="76">
        <v>316083170.03000003</v>
      </c>
      <c r="N5" s="65">
        <v>316959541.99000001</v>
      </c>
      <c r="O5" s="65">
        <v>316561761</v>
      </c>
      <c r="P5" s="65">
        <v>326759496</v>
      </c>
    </row>
    <row r="6" spans="1:16 16383:16384" s="39" customFormat="1" x14ac:dyDescent="0.3">
      <c r="A6" s="81" t="s">
        <v>46</v>
      </c>
      <c r="B6" s="8"/>
      <c r="C6" s="82" t="s">
        <v>61</v>
      </c>
      <c r="D6" s="16"/>
      <c r="E6" s="116">
        <v>-380739.8</v>
      </c>
      <c r="F6" s="54">
        <v>-380739.8</v>
      </c>
      <c r="G6" s="116">
        <v>-380739.8</v>
      </c>
      <c r="H6" s="54">
        <v>-380739.8</v>
      </c>
      <c r="I6" s="113">
        <v>-380739.8</v>
      </c>
      <c r="J6" s="54">
        <v>-380739.8</v>
      </c>
      <c r="K6" s="106">
        <v>-380739.8</v>
      </c>
      <c r="L6" s="54"/>
      <c r="M6" s="116"/>
      <c r="N6" s="54"/>
      <c r="O6" s="54"/>
      <c r="P6" s="54"/>
    </row>
    <row r="7" spans="1:16 16383:16384" x14ac:dyDescent="0.3">
      <c r="A7" s="52">
        <f>A5+1</f>
        <v>2</v>
      </c>
      <c r="B7" s="8"/>
      <c r="C7" s="53" t="s">
        <v>3</v>
      </c>
      <c r="D7" s="16"/>
      <c r="E7" s="77">
        <v>38943091.850000009</v>
      </c>
      <c r="F7" s="31">
        <v>40532076.579999991</v>
      </c>
      <c r="G7" s="77">
        <v>42039012.919999987</v>
      </c>
      <c r="H7" s="31">
        <v>43551213.910000004</v>
      </c>
      <c r="I7" s="34">
        <v>45291051.380000003</v>
      </c>
      <c r="J7" s="34">
        <v>47047838.880000003</v>
      </c>
      <c r="K7" s="107">
        <v>48778372.729999997</v>
      </c>
      <c r="L7" s="31">
        <v>50641102.810000002</v>
      </c>
      <c r="M7" s="77">
        <v>52322799.980000004</v>
      </c>
      <c r="N7" s="31">
        <v>52496071.620000005</v>
      </c>
      <c r="O7" s="31">
        <v>56182644</v>
      </c>
      <c r="P7" s="31">
        <v>58149815</v>
      </c>
    </row>
    <row r="8" spans="1:16 16383:16384" x14ac:dyDescent="0.3">
      <c r="A8" s="52">
        <f t="shared" ref="A8:A27" si="0">A7+1</f>
        <v>3</v>
      </c>
      <c r="B8" s="8"/>
      <c r="C8" s="53" t="s">
        <v>4</v>
      </c>
      <c r="D8" s="16"/>
      <c r="E8" s="78">
        <v>49403957</v>
      </c>
      <c r="F8" s="55">
        <v>48787767</v>
      </c>
      <c r="G8" s="78">
        <v>46852159</v>
      </c>
      <c r="H8" s="55">
        <v>46981911</v>
      </c>
      <c r="I8" s="71">
        <v>46706048</v>
      </c>
      <c r="J8" s="71">
        <v>48260852</v>
      </c>
      <c r="K8" s="108">
        <v>47975478</v>
      </c>
      <c r="L8" s="55">
        <v>47645132</v>
      </c>
      <c r="M8" s="78">
        <v>47503019</v>
      </c>
      <c r="N8" s="55">
        <v>47821147</v>
      </c>
      <c r="O8" s="55">
        <v>46771514</v>
      </c>
      <c r="P8" s="55">
        <v>46526730</v>
      </c>
    </row>
    <row r="9" spans="1:16 16383:16384" x14ac:dyDescent="0.3">
      <c r="A9" s="52">
        <f t="shared" si="0"/>
        <v>4</v>
      </c>
      <c r="B9" s="8"/>
      <c r="C9" s="53" t="s">
        <v>5</v>
      </c>
      <c r="D9" s="16"/>
      <c r="E9" s="117">
        <f t="shared" ref="E9:N9" si="1">E5+E6-E7-E8</f>
        <v>227695796.23999995</v>
      </c>
      <c r="F9" s="56">
        <f t="shared" si="1"/>
        <v>226835567.60000008</v>
      </c>
      <c r="G9" s="117">
        <f t="shared" si="1"/>
        <v>226846286.42000008</v>
      </c>
      <c r="H9" s="56">
        <f t="shared" si="1"/>
        <v>225366303.71000004</v>
      </c>
      <c r="I9" s="114">
        <f t="shared" si="1"/>
        <v>223908386.66000003</v>
      </c>
      <c r="J9" s="56">
        <f t="shared" si="1"/>
        <v>220614813.05999994</v>
      </c>
      <c r="K9" s="109">
        <f t="shared" si="1"/>
        <v>219188157.77000001</v>
      </c>
      <c r="L9" s="56">
        <f t="shared" si="1"/>
        <v>217685099.88999999</v>
      </c>
      <c r="M9" s="117">
        <f t="shared" si="1"/>
        <v>216257351.05000001</v>
      </c>
      <c r="N9" s="56">
        <f t="shared" si="1"/>
        <v>216642323.37</v>
      </c>
      <c r="O9" s="56">
        <f t="shared" ref="O9:P9" si="2">O5+O6-O7-O8</f>
        <v>213607603</v>
      </c>
      <c r="P9" s="56">
        <f t="shared" si="2"/>
        <v>222082951</v>
      </c>
    </row>
    <row r="10" spans="1:16 16383:16384" x14ac:dyDescent="0.3">
      <c r="A10" s="52">
        <f t="shared" si="0"/>
        <v>5</v>
      </c>
      <c r="B10" s="8"/>
      <c r="C10" s="53" t="s">
        <v>10</v>
      </c>
      <c r="D10" s="16"/>
      <c r="E10" s="41">
        <v>3705728</v>
      </c>
      <c r="F10" s="60">
        <v>4002377</v>
      </c>
      <c r="G10" s="41">
        <v>4297573</v>
      </c>
      <c r="H10" s="60">
        <v>4407355</v>
      </c>
      <c r="I10" s="41">
        <v>4134556</v>
      </c>
      <c r="J10" s="41">
        <v>4076762</v>
      </c>
      <c r="K10" s="41">
        <v>3898097</v>
      </c>
      <c r="L10" s="60">
        <v>3822694</v>
      </c>
      <c r="M10" s="41">
        <v>3952542</v>
      </c>
      <c r="N10" s="60">
        <v>4143484</v>
      </c>
      <c r="O10" s="60">
        <v>4217747</v>
      </c>
      <c r="P10" s="60">
        <v>4333801</v>
      </c>
    </row>
    <row r="11" spans="1:16 16383:16384" s="39" customFormat="1" x14ac:dyDescent="0.3">
      <c r="A11" s="81" t="s">
        <v>66</v>
      </c>
      <c r="B11" s="8"/>
      <c r="C11" s="82" t="s">
        <v>68</v>
      </c>
      <c r="D11" s="16"/>
      <c r="E11" s="41">
        <f t="shared" ref="E11:N11" si="3">E33*2</f>
        <v>544298.34</v>
      </c>
      <c r="F11" s="60">
        <f t="shared" si="3"/>
        <v>640359.43000000005</v>
      </c>
      <c r="G11" s="41">
        <f t="shared" si="3"/>
        <v>543419.18999999994</v>
      </c>
      <c r="H11" s="60">
        <f t="shared" si="3"/>
        <v>578777.89</v>
      </c>
      <c r="I11" s="41">
        <f t="shared" si="3"/>
        <v>720138.52</v>
      </c>
      <c r="J11" s="41">
        <f t="shared" si="3"/>
        <v>181177.72</v>
      </c>
      <c r="K11" s="41">
        <f t="shared" si="3"/>
        <v>385959.48</v>
      </c>
      <c r="L11" s="60">
        <f t="shared" si="3"/>
        <v>288183.05</v>
      </c>
      <c r="M11" s="41">
        <f t="shared" si="3"/>
        <v>631749.67000000004</v>
      </c>
      <c r="N11" s="60">
        <f t="shared" si="3"/>
        <v>657832.72</v>
      </c>
      <c r="O11" s="60">
        <f t="shared" ref="O11:P11" si="4">O33*2</f>
        <v>1187323.3800000001</v>
      </c>
      <c r="P11" s="60">
        <f t="shared" si="4"/>
        <v>1089758.26</v>
      </c>
    </row>
    <row r="12" spans="1:16 16383:16384" s="39" customFormat="1" x14ac:dyDescent="0.3">
      <c r="A12" s="81" t="s">
        <v>67</v>
      </c>
      <c r="B12" s="8"/>
      <c r="C12" s="82" t="s">
        <v>69</v>
      </c>
      <c r="D12" s="16"/>
      <c r="E12" s="41">
        <f t="shared" ref="E12:N12" si="5">E34*2</f>
        <v>491013.72000000003</v>
      </c>
      <c r="F12" s="60">
        <f t="shared" si="5"/>
        <v>312334.03999999998</v>
      </c>
      <c r="G12" s="41">
        <f t="shared" si="5"/>
        <v>440795.05</v>
      </c>
      <c r="H12" s="60">
        <f t="shared" si="5"/>
        <v>697869.52</v>
      </c>
      <c r="I12" s="41">
        <f t="shared" si="5"/>
        <v>698301.1</v>
      </c>
      <c r="J12" s="41">
        <f t="shared" si="5"/>
        <v>836507.14</v>
      </c>
      <c r="K12" s="41">
        <f t="shared" si="5"/>
        <v>566178.78</v>
      </c>
      <c r="L12" s="60">
        <f t="shared" si="5"/>
        <v>695844.36</v>
      </c>
      <c r="M12" s="41">
        <f t="shared" si="5"/>
        <v>500845.48</v>
      </c>
      <c r="N12" s="60">
        <f t="shared" si="5"/>
        <v>673995.48</v>
      </c>
      <c r="O12" s="60">
        <f t="shared" ref="O12:P12" si="6">O34*2</f>
        <v>674284.87</v>
      </c>
      <c r="P12" s="60">
        <f t="shared" si="6"/>
        <v>640074.07999999996</v>
      </c>
    </row>
    <row r="13" spans="1:16 16383:16384" ht="15" thickBot="1" x14ac:dyDescent="0.35">
      <c r="A13" s="52">
        <f>A10+1</f>
        <v>6</v>
      </c>
      <c r="B13" s="4"/>
      <c r="C13" s="57" t="s">
        <v>11</v>
      </c>
      <c r="D13" s="99"/>
      <c r="E13" s="118">
        <f t="shared" ref="E13:N13" si="7">SUM(E9:E12)</f>
        <v>232436836.29999995</v>
      </c>
      <c r="F13" s="98">
        <f t="shared" si="7"/>
        <v>231790638.07000008</v>
      </c>
      <c r="G13" s="118">
        <f t="shared" si="7"/>
        <v>232128073.66000009</v>
      </c>
      <c r="H13" s="98">
        <f t="shared" si="7"/>
        <v>231050306.12000003</v>
      </c>
      <c r="I13" s="115">
        <f t="shared" si="7"/>
        <v>229461382.28000003</v>
      </c>
      <c r="J13" s="98">
        <f t="shared" si="7"/>
        <v>225709259.91999993</v>
      </c>
      <c r="K13" s="110">
        <f t="shared" si="7"/>
        <v>224038393.03</v>
      </c>
      <c r="L13" s="98">
        <f t="shared" si="7"/>
        <v>222491821.30000001</v>
      </c>
      <c r="M13" s="118">
        <f t="shared" si="7"/>
        <v>221342488.19999999</v>
      </c>
      <c r="N13" s="98">
        <f t="shared" si="7"/>
        <v>222117635.56999999</v>
      </c>
      <c r="O13" s="98">
        <f t="shared" ref="O13:P13" si="8">SUM(O9:O12)</f>
        <v>219686958.25</v>
      </c>
      <c r="P13" s="98">
        <f t="shared" si="8"/>
        <v>228146584.34</v>
      </c>
    </row>
    <row r="14" spans="1:16 16383:16384" ht="15" thickTop="1" x14ac:dyDescent="0.3">
      <c r="A14" s="52">
        <f t="shared" si="0"/>
        <v>7</v>
      </c>
      <c r="B14" s="8"/>
      <c r="C14" s="53" t="s">
        <v>12</v>
      </c>
      <c r="D14" s="100" t="s">
        <v>13</v>
      </c>
      <c r="E14" s="17"/>
      <c r="F14" s="53"/>
      <c r="G14" s="17"/>
      <c r="H14" s="53"/>
      <c r="I14" s="73"/>
      <c r="J14" s="73"/>
      <c r="K14" s="16"/>
      <c r="L14" s="53"/>
      <c r="M14" s="17"/>
      <c r="N14" s="53"/>
      <c r="O14" s="53"/>
      <c r="P14" s="53"/>
    </row>
    <row r="15" spans="1:16 16383:16384" x14ac:dyDescent="0.3">
      <c r="A15" s="52">
        <f t="shared" si="0"/>
        <v>8</v>
      </c>
      <c r="B15" s="8"/>
      <c r="C15" s="53" t="s">
        <v>14</v>
      </c>
      <c r="D15" s="16"/>
      <c r="E15" s="80">
        <v>7.2728333333333325E-3</v>
      </c>
      <c r="F15" s="59">
        <v>7.2976666666666667E-3</v>
      </c>
      <c r="G15" s="80">
        <v>7.2976666666666667E-3</v>
      </c>
      <c r="H15" s="59">
        <v>7.1102499999999994E-3</v>
      </c>
      <c r="I15" s="74">
        <v>6.4846666666666664E-3</v>
      </c>
      <c r="J15" s="74">
        <v>6.5901666666666669E-3</v>
      </c>
      <c r="K15" s="111">
        <v>6.8582499999999998E-3</v>
      </c>
      <c r="L15" s="59">
        <v>6.8941666666666665E-3</v>
      </c>
      <c r="M15" s="80">
        <v>7.2255833333333339E-3</v>
      </c>
      <c r="N15" s="59">
        <v>7.3147499999999992E-3</v>
      </c>
      <c r="O15" s="59">
        <f>ROUND(0.0852/12,4)</f>
        <v>7.1000000000000004E-3</v>
      </c>
      <c r="P15" s="120">
        <v>7.4000000000000003E-3</v>
      </c>
    </row>
    <row r="16" spans="1:16 16383:16384" x14ac:dyDescent="0.3">
      <c r="A16" s="52">
        <f t="shared" si="0"/>
        <v>9</v>
      </c>
      <c r="B16" s="8"/>
      <c r="C16" s="53" t="s">
        <v>15</v>
      </c>
      <c r="D16" s="16"/>
      <c r="E16" s="77">
        <f t="shared" ref="E16:P16" si="9">E13*E15</f>
        <v>1690474.3709371828</v>
      </c>
      <c r="F16" s="31">
        <f t="shared" si="9"/>
        <v>1691530.8130888373</v>
      </c>
      <c r="G16" s="77">
        <f t="shared" si="9"/>
        <v>1693993.3055461273</v>
      </c>
      <c r="H16" s="31">
        <f t="shared" si="9"/>
        <v>1642825.4390897301</v>
      </c>
      <c r="I16" s="34">
        <f t="shared" si="9"/>
        <v>1487980.5769583734</v>
      </c>
      <c r="J16" s="31">
        <f t="shared" si="9"/>
        <v>1487461.6410827863</v>
      </c>
      <c r="K16" s="107">
        <f t="shared" si="9"/>
        <v>1536511.3089979975</v>
      </c>
      <c r="L16" s="31">
        <f t="shared" si="9"/>
        <v>1533895.6980124167</v>
      </c>
      <c r="M16" s="77">
        <f t="shared" si="9"/>
        <v>1599328.5936964501</v>
      </c>
      <c r="N16" s="31">
        <f t="shared" si="9"/>
        <v>1624734.9747856574</v>
      </c>
      <c r="O16" s="122">
        <f t="shared" si="9"/>
        <v>1559777.4035750001</v>
      </c>
      <c r="P16" s="122">
        <f t="shared" si="9"/>
        <v>1688284.7241160001</v>
      </c>
    </row>
    <row r="17" spans="1:16" x14ac:dyDescent="0.3">
      <c r="A17" s="52">
        <f t="shared" si="0"/>
        <v>10</v>
      </c>
      <c r="B17" s="8"/>
      <c r="C17" s="53" t="s">
        <v>55</v>
      </c>
      <c r="D17" s="16"/>
      <c r="E17" s="78">
        <v>482385</v>
      </c>
      <c r="F17" s="55">
        <v>1258566.8</v>
      </c>
      <c r="G17" s="78">
        <v>1567432.87</v>
      </c>
      <c r="H17" s="55">
        <v>2062649</v>
      </c>
      <c r="I17" s="71">
        <v>2044090</v>
      </c>
      <c r="J17" s="71">
        <v>1984393</v>
      </c>
      <c r="K17" s="108">
        <v>1635464</v>
      </c>
      <c r="L17" s="55">
        <v>1789403</v>
      </c>
      <c r="M17" s="78">
        <v>1897438.52</v>
      </c>
      <c r="N17" s="55">
        <v>1985822.14</v>
      </c>
      <c r="O17" s="55">
        <v>1808911</v>
      </c>
      <c r="P17" s="55">
        <v>1525794</v>
      </c>
    </row>
    <row r="18" spans="1:16" x14ac:dyDescent="0.3">
      <c r="A18" s="52">
        <f t="shared" si="0"/>
        <v>11</v>
      </c>
      <c r="B18" s="8"/>
      <c r="C18" s="53" t="s">
        <v>56</v>
      </c>
      <c r="D18" s="16"/>
      <c r="E18" s="78">
        <v>248535</v>
      </c>
      <c r="F18" s="55">
        <v>1007572.68</v>
      </c>
      <c r="G18" s="78">
        <v>724827.83</v>
      </c>
      <c r="H18" s="55">
        <v>1253450</v>
      </c>
      <c r="I18" s="71">
        <v>1487249</v>
      </c>
      <c r="J18" s="71">
        <v>1452677</v>
      </c>
      <c r="K18" s="108">
        <v>852402</v>
      </c>
      <c r="L18" s="55">
        <v>1268403</v>
      </c>
      <c r="M18" s="78">
        <v>1206427.8999999999</v>
      </c>
      <c r="N18" s="55">
        <v>1530630</v>
      </c>
      <c r="O18" s="55">
        <v>1220012</v>
      </c>
      <c r="P18" s="55">
        <v>1154247</v>
      </c>
    </row>
    <row r="19" spans="1:16" x14ac:dyDescent="0.3">
      <c r="A19" s="52">
        <f t="shared" si="0"/>
        <v>12</v>
      </c>
      <c r="B19" s="8"/>
      <c r="C19" s="53" t="s">
        <v>57</v>
      </c>
      <c r="D19" s="16"/>
      <c r="E19" s="77">
        <v>15625</v>
      </c>
      <c r="F19" s="31">
        <v>15625</v>
      </c>
      <c r="G19" s="77">
        <v>15625</v>
      </c>
      <c r="H19" s="31">
        <v>15625</v>
      </c>
      <c r="I19" s="34">
        <v>15625</v>
      </c>
      <c r="J19" s="34">
        <v>15625</v>
      </c>
      <c r="K19" s="107">
        <v>15625</v>
      </c>
      <c r="L19" s="31">
        <v>15625</v>
      </c>
      <c r="M19" s="77">
        <v>15625</v>
      </c>
      <c r="N19" s="31">
        <v>15625</v>
      </c>
      <c r="O19" s="31">
        <v>15625</v>
      </c>
      <c r="P19" s="31">
        <v>15625</v>
      </c>
    </row>
    <row r="20" spans="1:16" x14ac:dyDescent="0.3">
      <c r="A20" s="52">
        <v>13</v>
      </c>
      <c r="B20" s="8"/>
      <c r="C20" s="53" t="s">
        <v>58</v>
      </c>
      <c r="D20" s="16"/>
      <c r="E20" s="77">
        <v>0</v>
      </c>
      <c r="F20" s="31">
        <v>0</v>
      </c>
      <c r="G20" s="77">
        <v>0</v>
      </c>
      <c r="H20" s="31">
        <v>0</v>
      </c>
      <c r="I20" s="34">
        <v>0</v>
      </c>
      <c r="J20" s="34">
        <v>0</v>
      </c>
      <c r="K20" s="107">
        <v>0</v>
      </c>
      <c r="L20" s="31">
        <v>0</v>
      </c>
      <c r="M20" s="77">
        <v>0</v>
      </c>
      <c r="N20" s="31">
        <v>0</v>
      </c>
      <c r="O20" s="31">
        <v>0</v>
      </c>
      <c r="P20" s="31">
        <v>0</v>
      </c>
    </row>
    <row r="21" spans="1:16" ht="15" thickBot="1" x14ac:dyDescent="0.35">
      <c r="A21" s="52">
        <v>14</v>
      </c>
      <c r="B21" s="4"/>
      <c r="C21" s="57" t="s">
        <v>27</v>
      </c>
      <c r="D21" s="99"/>
      <c r="E21" s="79">
        <f t="shared" ref="E21:N21" si="10">SUM(E16:E20)</f>
        <v>2437019.3709371826</v>
      </c>
      <c r="F21" s="58">
        <f t="shared" si="10"/>
        <v>3973295.2930888375</v>
      </c>
      <c r="G21" s="79">
        <f t="shared" si="10"/>
        <v>4001879.0055461274</v>
      </c>
      <c r="H21" s="58">
        <f t="shared" si="10"/>
        <v>4974549.4390897304</v>
      </c>
      <c r="I21" s="72">
        <f t="shared" si="10"/>
        <v>5034944.5769583732</v>
      </c>
      <c r="J21" s="58">
        <f t="shared" si="10"/>
        <v>4940156.641082786</v>
      </c>
      <c r="K21" s="112">
        <f t="shared" si="10"/>
        <v>4040002.3089979975</v>
      </c>
      <c r="L21" s="58">
        <f t="shared" si="10"/>
        <v>4607326.6980124172</v>
      </c>
      <c r="M21" s="79">
        <f t="shared" si="10"/>
        <v>4718820.0136964507</v>
      </c>
      <c r="N21" s="58">
        <f t="shared" si="10"/>
        <v>5156812.1147856573</v>
      </c>
      <c r="O21" s="58">
        <f t="shared" ref="O21:P21" si="11">SUM(O16:O20)</f>
        <v>4604325.4035750004</v>
      </c>
      <c r="P21" s="58">
        <f t="shared" si="11"/>
        <v>4383950.7241160003</v>
      </c>
    </row>
    <row r="22" spans="1:16" ht="15" thickTop="1" x14ac:dyDescent="0.3">
      <c r="A22" s="52">
        <v>15</v>
      </c>
      <c r="B22" s="8"/>
      <c r="C22" s="53" t="s">
        <v>59</v>
      </c>
      <c r="D22" s="16"/>
      <c r="E22" s="41">
        <v>64126</v>
      </c>
      <c r="F22" s="60">
        <v>106694.81999999999</v>
      </c>
      <c r="G22" s="41">
        <v>68940.61</v>
      </c>
      <c r="H22" s="60">
        <v>110273.24</v>
      </c>
      <c r="I22" s="75">
        <v>56597</v>
      </c>
      <c r="J22" s="75">
        <v>67957.59</v>
      </c>
      <c r="K22" s="104">
        <v>107189.81000000001</v>
      </c>
      <c r="L22" s="60">
        <v>52741</v>
      </c>
      <c r="M22" s="41">
        <v>47019</v>
      </c>
      <c r="N22" s="60">
        <v>142783.93000000002</v>
      </c>
      <c r="O22" s="60">
        <v>121911</v>
      </c>
      <c r="P22" s="60">
        <v>87894</v>
      </c>
    </row>
    <row r="23" spans="1:16" ht="15" thickBot="1" x14ac:dyDescent="0.35">
      <c r="A23" s="52">
        <f t="shared" si="0"/>
        <v>16</v>
      </c>
      <c r="B23" s="4"/>
      <c r="C23" s="57" t="s">
        <v>30</v>
      </c>
      <c r="D23" s="99"/>
      <c r="E23" s="79">
        <v>64126</v>
      </c>
      <c r="F23" s="58">
        <v>106694.81999999999</v>
      </c>
      <c r="G23" s="79">
        <v>68940.61</v>
      </c>
      <c r="H23" s="58">
        <v>110273.24</v>
      </c>
      <c r="I23" s="72">
        <v>56597</v>
      </c>
      <c r="J23" s="72">
        <v>67957.59</v>
      </c>
      <c r="K23" s="112">
        <v>107189.81000000001</v>
      </c>
      <c r="L23" s="58">
        <v>52741</v>
      </c>
      <c r="M23" s="79">
        <v>47019</v>
      </c>
      <c r="N23" s="58">
        <v>142783.93000000002</v>
      </c>
      <c r="O23" s="58">
        <f>O22</f>
        <v>121911</v>
      </c>
      <c r="P23" s="58">
        <f>P22</f>
        <v>87894</v>
      </c>
    </row>
    <row r="24" spans="1:16" ht="15" thickTop="1" x14ac:dyDescent="0.3">
      <c r="A24" s="52">
        <f t="shared" si="0"/>
        <v>17</v>
      </c>
      <c r="B24" s="8"/>
      <c r="C24" s="53" t="s">
        <v>31</v>
      </c>
      <c r="D24" s="16"/>
      <c r="E24" s="77">
        <f t="shared" ref="E24:N24" si="12">(E5+E6)*0.0352/12</f>
        <v>927059.0122639999</v>
      </c>
      <c r="F24" s="31">
        <f t="shared" si="12"/>
        <v>927389.20612800028</v>
      </c>
      <c r="G24" s="77">
        <f t="shared" si="12"/>
        <v>926163.2111306669</v>
      </c>
      <c r="H24" s="31">
        <f t="shared" si="12"/>
        <v>926638.32395200024</v>
      </c>
      <c r="I24" s="34">
        <f t="shared" si="12"/>
        <v>926656.09238400019</v>
      </c>
      <c r="J24" s="31">
        <f t="shared" si="12"/>
        <v>926708.94489066664</v>
      </c>
      <c r="K24" s="107">
        <f t="shared" si="12"/>
        <v>926763.22493333335</v>
      </c>
      <c r="L24" s="31">
        <f t="shared" si="12"/>
        <v>926849.24845333339</v>
      </c>
      <c r="M24" s="77">
        <f t="shared" si="12"/>
        <v>927177.29875466682</v>
      </c>
      <c r="N24" s="31">
        <f t="shared" si="12"/>
        <v>929747.98983733344</v>
      </c>
      <c r="O24" s="31">
        <f t="shared" ref="O24:P24" si="13">(O5+O6)*0.0352/12</f>
        <v>928581.16560000007</v>
      </c>
      <c r="P24" s="31">
        <f t="shared" si="13"/>
        <v>958494.52160000009</v>
      </c>
    </row>
    <row r="25" spans="1:16" ht="15" thickBot="1" x14ac:dyDescent="0.35">
      <c r="A25" s="52">
        <f>A24+1</f>
        <v>18</v>
      </c>
      <c r="B25" s="4"/>
      <c r="C25" s="61" t="s">
        <v>34</v>
      </c>
      <c r="D25" s="99"/>
      <c r="E25" s="79">
        <f t="shared" ref="E25:N25" si="14">SUM(E24:E24)</f>
        <v>927059.0122639999</v>
      </c>
      <c r="F25" s="58">
        <f t="shared" si="14"/>
        <v>927389.20612800028</v>
      </c>
      <c r="G25" s="79">
        <f t="shared" si="14"/>
        <v>926163.2111306669</v>
      </c>
      <c r="H25" s="58">
        <f t="shared" si="14"/>
        <v>926638.32395200024</v>
      </c>
      <c r="I25" s="72">
        <f t="shared" si="14"/>
        <v>926656.09238400019</v>
      </c>
      <c r="J25" s="58">
        <f t="shared" si="14"/>
        <v>926708.94489066664</v>
      </c>
      <c r="K25" s="112">
        <f t="shared" si="14"/>
        <v>926763.22493333335</v>
      </c>
      <c r="L25" s="58">
        <f t="shared" si="14"/>
        <v>926849.24845333339</v>
      </c>
      <c r="M25" s="79">
        <f t="shared" si="14"/>
        <v>927177.29875466682</v>
      </c>
      <c r="N25" s="58">
        <f t="shared" si="14"/>
        <v>929747.98983733344</v>
      </c>
      <c r="O25" s="58">
        <f t="shared" ref="O25:P25" si="15">SUM(O24:O24)</f>
        <v>928581.16560000007</v>
      </c>
      <c r="P25" s="58">
        <f t="shared" si="15"/>
        <v>958494.52160000009</v>
      </c>
    </row>
    <row r="26" spans="1:16" ht="15" thickTop="1" x14ac:dyDescent="0.3">
      <c r="A26" s="52">
        <f t="shared" si="0"/>
        <v>19</v>
      </c>
      <c r="B26" s="4"/>
      <c r="C26" s="61" t="s">
        <v>35</v>
      </c>
      <c r="D26" s="99"/>
      <c r="E26" s="117">
        <f t="shared" ref="E26:N26" si="16">SUM(E21+E23+E25)</f>
        <v>3428204.3832011824</v>
      </c>
      <c r="F26" s="56">
        <f t="shared" si="16"/>
        <v>5007379.3192168381</v>
      </c>
      <c r="G26" s="117">
        <f t="shared" si="16"/>
        <v>4996982.8266767943</v>
      </c>
      <c r="H26" s="56">
        <f t="shared" si="16"/>
        <v>6011461.0030417312</v>
      </c>
      <c r="I26" s="114">
        <f t="shared" si="16"/>
        <v>6018197.6693423735</v>
      </c>
      <c r="J26" s="56">
        <f t="shared" si="16"/>
        <v>5934823.1759734526</v>
      </c>
      <c r="K26" s="109">
        <f t="shared" si="16"/>
        <v>5073955.3439313313</v>
      </c>
      <c r="L26" s="56">
        <f t="shared" si="16"/>
        <v>5586916.9464657502</v>
      </c>
      <c r="M26" s="117">
        <f t="shared" si="16"/>
        <v>5693016.3124511177</v>
      </c>
      <c r="N26" s="56">
        <f t="shared" si="16"/>
        <v>6229344.0346229905</v>
      </c>
      <c r="O26" s="56">
        <f t="shared" ref="O26:P26" si="17">SUM(O21+O23+O25)</f>
        <v>5654817.5691750003</v>
      </c>
      <c r="P26" s="56">
        <f t="shared" si="17"/>
        <v>5430339.245716</v>
      </c>
    </row>
    <row r="27" spans="1:16" x14ac:dyDescent="0.3">
      <c r="A27" s="52">
        <f t="shared" si="0"/>
        <v>20</v>
      </c>
      <c r="B27" s="4"/>
      <c r="C27" s="57" t="s">
        <v>60</v>
      </c>
      <c r="D27" s="101">
        <v>0.15</v>
      </c>
      <c r="E27" s="117">
        <f t="shared" ref="E27:N27" si="18">ROUND(E26*$D$27,2)</f>
        <v>514230.66</v>
      </c>
      <c r="F27" s="56">
        <f t="shared" si="18"/>
        <v>751106.9</v>
      </c>
      <c r="G27" s="117">
        <f t="shared" si="18"/>
        <v>749547.42</v>
      </c>
      <c r="H27" s="56">
        <f t="shared" si="18"/>
        <v>901719.15</v>
      </c>
      <c r="I27" s="114">
        <f t="shared" si="18"/>
        <v>902729.65</v>
      </c>
      <c r="J27" s="56">
        <f t="shared" si="18"/>
        <v>890223.48</v>
      </c>
      <c r="K27" s="109">
        <f t="shared" si="18"/>
        <v>761093.3</v>
      </c>
      <c r="L27" s="56">
        <f t="shared" si="18"/>
        <v>838037.54</v>
      </c>
      <c r="M27" s="117">
        <f t="shared" si="18"/>
        <v>853952.45</v>
      </c>
      <c r="N27" s="56">
        <f t="shared" si="18"/>
        <v>934401.61</v>
      </c>
      <c r="O27" s="56">
        <f t="shared" ref="O27:P27" si="19">ROUND(O26*$D$27,2)</f>
        <v>848222.64</v>
      </c>
      <c r="P27" s="56">
        <f t="shared" si="19"/>
        <v>814550.89</v>
      </c>
    </row>
    <row r="28" spans="1:16" ht="15" thickBot="1" x14ac:dyDescent="0.35">
      <c r="A28" s="62"/>
      <c r="B28" s="8"/>
      <c r="C28" s="63"/>
      <c r="D28" s="102"/>
      <c r="E28" s="68"/>
      <c r="F28" s="66"/>
      <c r="G28" s="68"/>
      <c r="H28" s="66"/>
      <c r="I28" s="69"/>
      <c r="J28" s="69"/>
      <c r="K28" s="102"/>
      <c r="L28" s="63"/>
      <c r="M28" s="68"/>
      <c r="N28" s="63"/>
      <c r="O28" s="63"/>
      <c r="P28" s="63"/>
    </row>
    <row r="30" spans="1:16" x14ac:dyDescent="0.3"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2" spans="1:16" x14ac:dyDescent="0.3"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6" x14ac:dyDescent="0.3">
      <c r="A33" s="96" t="s">
        <v>62</v>
      </c>
      <c r="B33" s="97" t="s">
        <v>63</v>
      </c>
      <c r="E33" s="123">
        <v>272149.17</v>
      </c>
      <c r="F33" s="123">
        <v>320179.71500000003</v>
      </c>
      <c r="G33" s="123">
        <v>271709.59499999997</v>
      </c>
      <c r="H33" s="123">
        <v>289388.94500000001</v>
      </c>
      <c r="I33" s="123">
        <v>360069.26</v>
      </c>
      <c r="J33" s="123">
        <v>90588.86</v>
      </c>
      <c r="K33" s="123">
        <v>192979.74</v>
      </c>
      <c r="L33" s="123">
        <v>144091.52499999999</v>
      </c>
      <c r="M33" s="123">
        <v>315874.83500000002</v>
      </c>
      <c r="N33" s="123">
        <v>328916.36</v>
      </c>
      <c r="O33" s="123">
        <v>593661.69000000006</v>
      </c>
      <c r="P33" s="123">
        <v>544879.13</v>
      </c>
    </row>
    <row r="34" spans="1:16" x14ac:dyDescent="0.3">
      <c r="A34" s="96" t="s">
        <v>64</v>
      </c>
      <c r="B34" s="97" t="s">
        <v>65</v>
      </c>
      <c r="C34" s="40"/>
      <c r="D34" s="40"/>
      <c r="E34" s="123">
        <v>245506.86000000002</v>
      </c>
      <c r="F34" s="123">
        <v>156167.01999999999</v>
      </c>
      <c r="G34" s="123">
        <v>220397.52499999999</v>
      </c>
      <c r="H34" s="123">
        <v>348934.76</v>
      </c>
      <c r="I34" s="123">
        <v>349150.55</v>
      </c>
      <c r="J34" s="123">
        <v>418253.57</v>
      </c>
      <c r="K34" s="123">
        <v>283089.39</v>
      </c>
      <c r="L34" s="123">
        <v>347922.18</v>
      </c>
      <c r="M34" s="123">
        <v>250422.74</v>
      </c>
      <c r="N34" s="123">
        <v>336997.74</v>
      </c>
      <c r="O34" s="123">
        <v>337142.435</v>
      </c>
      <c r="P34" s="123">
        <v>320037.03999999998</v>
      </c>
    </row>
  </sheetData>
  <mergeCells count="2">
    <mergeCell ref="A3:A4"/>
    <mergeCell ref="E2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C1" zoomScale="80" zoomScaleNormal="80" workbookViewId="0">
      <pane xSplit="2" ySplit="4" topLeftCell="E26" activePane="bottomRight" state="frozen"/>
      <selection activeCell="C1" sqref="C1"/>
      <selection pane="topRight" activeCell="E1" sqref="E1"/>
      <selection pane="bottomLeft" activeCell="C5" sqref="C5"/>
      <selection pane="bottomRight" activeCell="Q43" sqref="Q43"/>
    </sheetView>
  </sheetViews>
  <sheetFormatPr defaultRowHeight="14.4" x14ac:dyDescent="0.3"/>
  <cols>
    <col min="1" max="1" width="5.33203125" customWidth="1"/>
    <col min="2" max="2" width="0.33203125" customWidth="1"/>
    <col min="3" max="3" width="52.33203125" customWidth="1"/>
    <col min="4" max="4" width="15.5546875" customWidth="1"/>
    <col min="5" max="14" width="18.109375" customWidth="1"/>
    <col min="15" max="16" width="18.109375" style="39" customWidth="1"/>
    <col min="17" max="17" width="12.33203125" bestFit="1" customWidth="1"/>
  </cols>
  <sheetData>
    <row r="1" spans="1:19" ht="15" thickBot="1" x14ac:dyDescent="0.35"/>
    <row r="2" spans="1:19" ht="15.75" customHeight="1" thickBot="1" x14ac:dyDescent="0.35">
      <c r="A2" s="268" t="s">
        <v>0</v>
      </c>
      <c r="B2" s="1"/>
      <c r="C2" s="2"/>
      <c r="D2" s="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4"/>
    </row>
    <row r="3" spans="1:19" ht="15" thickBot="1" x14ac:dyDescent="0.35">
      <c r="A3" s="260"/>
      <c r="B3" s="4"/>
      <c r="C3" s="5" t="s">
        <v>1</v>
      </c>
      <c r="D3" s="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7"/>
    </row>
    <row r="4" spans="1:19" ht="15" thickBot="1" x14ac:dyDescent="0.35">
      <c r="A4" s="7"/>
      <c r="B4" s="8"/>
      <c r="C4" s="9"/>
      <c r="D4" s="10"/>
      <c r="E4" s="64">
        <v>42432</v>
      </c>
      <c r="F4" s="144">
        <v>42463</v>
      </c>
      <c r="G4" s="147">
        <v>42494</v>
      </c>
      <c r="H4" s="148">
        <v>42525</v>
      </c>
      <c r="I4" s="147">
        <v>42556</v>
      </c>
      <c r="J4" s="148">
        <v>42587</v>
      </c>
      <c r="K4" s="147">
        <v>42618</v>
      </c>
      <c r="L4" s="148">
        <v>42649</v>
      </c>
      <c r="M4" s="147">
        <v>42680</v>
      </c>
      <c r="N4" s="148">
        <v>42711</v>
      </c>
      <c r="O4" s="147">
        <f>N4+30</f>
        <v>42741</v>
      </c>
      <c r="P4" s="145">
        <f>O4+30</f>
        <v>42771</v>
      </c>
    </row>
    <row r="5" spans="1:19" x14ac:dyDescent="0.3">
      <c r="A5" s="12">
        <v>1</v>
      </c>
      <c r="B5" s="8"/>
      <c r="C5" s="9" t="s">
        <v>2</v>
      </c>
      <c r="D5" s="10"/>
      <c r="E5" s="128">
        <v>376324108.02500004</v>
      </c>
      <c r="F5" s="133">
        <v>376396768.27500004</v>
      </c>
      <c r="G5" s="129">
        <v>376422253.10500002</v>
      </c>
      <c r="H5" s="149">
        <v>376452968.90500003</v>
      </c>
      <c r="I5" s="129">
        <v>377742431.56500006</v>
      </c>
      <c r="J5" s="149">
        <v>377766608.17500007</v>
      </c>
      <c r="K5" s="129">
        <v>377776401.68500006</v>
      </c>
      <c r="L5" s="149">
        <v>368508175.94500017</v>
      </c>
      <c r="M5" s="129">
        <v>368508175.94500017</v>
      </c>
      <c r="N5" s="149">
        <v>368510642.5150001</v>
      </c>
      <c r="O5" s="129">
        <v>368515537</v>
      </c>
      <c r="P5" s="150">
        <v>369649687</v>
      </c>
    </row>
    <row r="6" spans="1:19" s="39" customFormat="1" x14ac:dyDescent="0.3">
      <c r="A6" s="12" t="s">
        <v>46</v>
      </c>
      <c r="B6" s="8"/>
      <c r="C6" s="44" t="s">
        <v>47</v>
      </c>
      <c r="D6" s="10"/>
      <c r="E6" s="13">
        <v>-379423.29</v>
      </c>
      <c r="F6" s="133">
        <v>-386829.12</v>
      </c>
      <c r="G6" s="13">
        <v>-477836.77</v>
      </c>
      <c r="H6" s="133">
        <v>-1592772.7</v>
      </c>
      <c r="I6" s="13">
        <v>-1598846.91</v>
      </c>
      <c r="J6" s="133">
        <v>-1602323.3199999998</v>
      </c>
      <c r="K6" s="13">
        <v>-8198927.2299999986</v>
      </c>
      <c r="L6" s="133"/>
      <c r="M6" s="13"/>
      <c r="N6" s="133"/>
      <c r="O6" s="13"/>
      <c r="P6" s="151"/>
    </row>
    <row r="7" spans="1:19" ht="15.75" customHeight="1" x14ac:dyDescent="0.3">
      <c r="A7" s="12">
        <f>A5+1</f>
        <v>2</v>
      </c>
      <c r="B7" s="8"/>
      <c r="C7" s="9" t="s">
        <v>3</v>
      </c>
      <c r="D7" s="10"/>
      <c r="E7" s="14">
        <v>83139850.530000001</v>
      </c>
      <c r="F7" s="32">
        <v>84202634.239999965</v>
      </c>
      <c r="G7" s="14">
        <v>85034351.950000018</v>
      </c>
      <c r="H7" s="32">
        <v>84217749.830000013</v>
      </c>
      <c r="I7" s="14">
        <v>85201251.100000024</v>
      </c>
      <c r="J7" s="32">
        <v>86296698.359999999</v>
      </c>
      <c r="K7" s="14">
        <v>84840566.73999998</v>
      </c>
      <c r="L7" s="32">
        <v>85697886.529999986</v>
      </c>
      <c r="M7" s="14">
        <v>87521673.459999979</v>
      </c>
      <c r="N7" s="32">
        <v>88572676.970000014</v>
      </c>
      <c r="O7" s="14">
        <v>89562485</v>
      </c>
      <c r="P7" s="152">
        <v>90670790</v>
      </c>
    </row>
    <row r="8" spans="1:19" x14ac:dyDescent="0.3">
      <c r="A8" s="15">
        <f t="shared" ref="A8:A40" si="0">A7+1</f>
        <v>3</v>
      </c>
      <c r="B8" s="8"/>
      <c r="C8" s="16" t="s">
        <v>4</v>
      </c>
      <c r="D8" s="17"/>
      <c r="E8" s="30">
        <v>41264734</v>
      </c>
      <c r="F8" s="134">
        <v>41343801</v>
      </c>
      <c r="G8" s="30">
        <v>41105851</v>
      </c>
      <c r="H8" s="134">
        <v>42368972</v>
      </c>
      <c r="I8" s="30">
        <v>42447920</v>
      </c>
      <c r="J8" s="134">
        <v>42524049</v>
      </c>
      <c r="K8" s="30">
        <v>43492573</v>
      </c>
      <c r="L8" s="134">
        <v>43649423</v>
      </c>
      <c r="M8" s="30">
        <v>43461481</v>
      </c>
      <c r="N8" s="134">
        <v>43563402</v>
      </c>
      <c r="O8" s="30">
        <v>43113008</v>
      </c>
      <c r="P8" s="153">
        <v>43749527</v>
      </c>
    </row>
    <row r="9" spans="1:19" ht="15" thickBot="1" x14ac:dyDescent="0.35">
      <c r="A9" s="12">
        <f t="shared" si="0"/>
        <v>4</v>
      </c>
      <c r="B9" s="8"/>
      <c r="C9" s="9" t="s">
        <v>5</v>
      </c>
      <c r="D9" s="10"/>
      <c r="E9" s="18">
        <f t="shared" ref="E9:N9" si="1">E5+E6-E7-E8</f>
        <v>251540100.20500004</v>
      </c>
      <c r="F9" s="135">
        <f t="shared" si="1"/>
        <v>250463503.91500008</v>
      </c>
      <c r="G9" s="18">
        <f t="shared" si="1"/>
        <v>249804213.38499999</v>
      </c>
      <c r="H9" s="135">
        <f t="shared" si="1"/>
        <v>248273474.375</v>
      </c>
      <c r="I9" s="18">
        <f t="shared" si="1"/>
        <v>248494413.55500001</v>
      </c>
      <c r="J9" s="135">
        <f t="shared" si="1"/>
        <v>247343537.49500006</v>
      </c>
      <c r="K9" s="18">
        <f t="shared" si="1"/>
        <v>241244334.71500003</v>
      </c>
      <c r="L9" s="135">
        <f t="shared" si="1"/>
        <v>239160866.4150002</v>
      </c>
      <c r="M9" s="18">
        <f t="shared" si="1"/>
        <v>237525021.48500019</v>
      </c>
      <c r="N9" s="135">
        <f t="shared" si="1"/>
        <v>236374563.54500008</v>
      </c>
      <c r="O9" s="18">
        <f t="shared" ref="O9:P9" si="2">O5+O6-O7-O8</f>
        <v>235840044</v>
      </c>
      <c r="P9" s="154">
        <f t="shared" si="2"/>
        <v>235229370</v>
      </c>
    </row>
    <row r="10" spans="1:19" ht="18.75" customHeight="1" thickTop="1" x14ac:dyDescent="0.3">
      <c r="A10" s="12">
        <f>A9+1</f>
        <v>5</v>
      </c>
      <c r="B10" s="8"/>
      <c r="C10" s="9" t="s">
        <v>6</v>
      </c>
      <c r="D10" s="10"/>
      <c r="E10" s="14">
        <v>9737436</v>
      </c>
      <c r="F10" s="32">
        <v>9706726</v>
      </c>
      <c r="G10" s="14">
        <v>9681906</v>
      </c>
      <c r="H10" s="32">
        <v>9641591</v>
      </c>
      <c r="I10" s="14">
        <v>9600434</v>
      </c>
      <c r="J10" s="32">
        <v>9550864</v>
      </c>
      <c r="K10" s="14">
        <v>9524922</v>
      </c>
      <c r="L10" s="32">
        <v>9501433.9700000007</v>
      </c>
      <c r="M10" s="14">
        <v>9461960</v>
      </c>
      <c r="N10" s="32">
        <v>9419471</v>
      </c>
      <c r="O10" s="14">
        <v>9390687</v>
      </c>
      <c r="P10" s="152">
        <v>9370786</v>
      </c>
    </row>
    <row r="11" spans="1:19" x14ac:dyDescent="0.3">
      <c r="A11" s="12">
        <f>A10+1</f>
        <v>6</v>
      </c>
      <c r="B11" s="8"/>
      <c r="C11" s="9" t="s">
        <v>7</v>
      </c>
      <c r="D11" s="10"/>
      <c r="E11" s="14">
        <v>41261</v>
      </c>
      <c r="F11" s="32">
        <v>40730</v>
      </c>
      <c r="G11" s="14">
        <v>40300</v>
      </c>
      <c r="H11" s="32">
        <v>39607</v>
      </c>
      <c r="I11" s="14">
        <v>38890</v>
      </c>
      <c r="J11" s="32">
        <v>38032</v>
      </c>
      <c r="K11" s="14">
        <v>35156</v>
      </c>
      <c r="L11" s="32">
        <v>34748</v>
      </c>
      <c r="M11" s="14">
        <v>34066</v>
      </c>
      <c r="N11" s="32">
        <v>33329</v>
      </c>
      <c r="O11" s="14">
        <v>32967</v>
      </c>
      <c r="P11" s="152">
        <v>32713</v>
      </c>
    </row>
    <row r="12" spans="1:19" x14ac:dyDescent="0.3">
      <c r="A12" s="12">
        <f t="shared" si="0"/>
        <v>7</v>
      </c>
      <c r="B12" s="8"/>
      <c r="C12" s="9" t="s">
        <v>8</v>
      </c>
      <c r="D12" s="10"/>
      <c r="E12" s="14">
        <v>0</v>
      </c>
      <c r="F12" s="32">
        <v>0</v>
      </c>
      <c r="G12" s="14">
        <v>0</v>
      </c>
      <c r="H12" s="32">
        <v>0</v>
      </c>
      <c r="I12" s="14">
        <v>0</v>
      </c>
      <c r="J12" s="32">
        <v>0</v>
      </c>
      <c r="K12" s="14">
        <v>0</v>
      </c>
      <c r="L12" s="32">
        <v>0</v>
      </c>
      <c r="M12" s="14">
        <v>0</v>
      </c>
      <c r="N12" s="32">
        <v>0</v>
      </c>
      <c r="O12" s="14">
        <v>0</v>
      </c>
      <c r="P12" s="152">
        <v>0</v>
      </c>
      <c r="Q12" s="127"/>
      <c r="R12" s="127"/>
      <c r="S12" s="127"/>
    </row>
    <row r="13" spans="1:19" x14ac:dyDescent="0.3">
      <c r="A13" s="12">
        <v>8</v>
      </c>
      <c r="B13" s="8"/>
      <c r="C13" s="9" t="s">
        <v>9</v>
      </c>
      <c r="D13" s="10"/>
      <c r="E13" s="14">
        <v>0</v>
      </c>
      <c r="F13" s="32">
        <v>0</v>
      </c>
      <c r="G13" s="14">
        <v>0</v>
      </c>
      <c r="H13" s="32">
        <v>0</v>
      </c>
      <c r="I13" s="14">
        <v>0</v>
      </c>
      <c r="J13" s="32">
        <v>0</v>
      </c>
      <c r="K13" s="14">
        <v>0</v>
      </c>
      <c r="L13" s="32">
        <v>0</v>
      </c>
      <c r="M13" s="14">
        <v>0</v>
      </c>
      <c r="N13" s="32">
        <v>0</v>
      </c>
      <c r="O13" s="14">
        <v>0</v>
      </c>
      <c r="P13" s="152">
        <v>0</v>
      </c>
      <c r="Q13" s="127"/>
      <c r="R13" s="127"/>
      <c r="S13" s="127"/>
    </row>
    <row r="14" spans="1:19" s="39" customFormat="1" x14ac:dyDescent="0.3">
      <c r="A14" s="12" t="s">
        <v>53</v>
      </c>
      <c r="B14" s="8"/>
      <c r="C14" s="44" t="s">
        <v>71</v>
      </c>
      <c r="D14" s="10"/>
      <c r="E14" s="122">
        <v>214494.76</v>
      </c>
      <c r="F14" s="77">
        <v>158270.51</v>
      </c>
      <c r="G14" s="122">
        <v>86607.05</v>
      </c>
      <c r="H14" s="77">
        <v>152042.55000000002</v>
      </c>
      <c r="I14" s="122">
        <v>41561.410000000003</v>
      </c>
      <c r="J14" s="77">
        <v>112195.74</v>
      </c>
      <c r="K14" s="122">
        <v>217438.52000000002</v>
      </c>
      <c r="L14" s="77">
        <v>200550.16</v>
      </c>
      <c r="M14" s="122">
        <v>110001.8</v>
      </c>
      <c r="N14" s="77">
        <v>-0.15</v>
      </c>
      <c r="O14" s="143">
        <v>67991.14</v>
      </c>
      <c r="P14" s="155">
        <v>181206.62</v>
      </c>
      <c r="Q14" s="127"/>
      <c r="R14" s="127"/>
      <c r="S14" s="127"/>
    </row>
    <row r="15" spans="1:19" s="39" customFormat="1" x14ac:dyDescent="0.3">
      <c r="A15" s="12"/>
      <c r="B15" s="8"/>
      <c r="C15" s="44" t="s">
        <v>70</v>
      </c>
      <c r="D15" s="10"/>
      <c r="E15" s="143">
        <v>139758.58000000002</v>
      </c>
      <c r="F15" s="123">
        <v>295202.52</v>
      </c>
      <c r="G15" s="143">
        <v>295202.51</v>
      </c>
      <c r="H15" s="132">
        <v>294215.39</v>
      </c>
      <c r="I15" s="143">
        <v>294215.39</v>
      </c>
      <c r="J15" s="132">
        <v>269431.71000000002</v>
      </c>
      <c r="K15" s="143">
        <v>130660.26000000001</v>
      </c>
      <c r="L15" s="132">
        <v>264767.91000000003</v>
      </c>
      <c r="M15" s="143">
        <v>419650.10000000003</v>
      </c>
      <c r="N15" s="132">
        <v>419650.10000000003</v>
      </c>
      <c r="O15" s="143">
        <v>288989.84000000003</v>
      </c>
      <c r="P15" s="155">
        <v>154882.19</v>
      </c>
      <c r="Q15" s="127"/>
      <c r="R15" s="127"/>
      <c r="S15" s="127"/>
    </row>
    <row r="16" spans="1:19" x14ac:dyDescent="0.3">
      <c r="A16" s="12">
        <f>A13+1</f>
        <v>9</v>
      </c>
      <c r="B16" s="8"/>
      <c r="C16" s="9" t="s">
        <v>10</v>
      </c>
      <c r="D16" s="10"/>
      <c r="E16" s="19">
        <v>420610</v>
      </c>
      <c r="F16" s="136">
        <v>417400</v>
      </c>
      <c r="G16" s="19">
        <v>386353</v>
      </c>
      <c r="H16" s="136">
        <v>383827</v>
      </c>
      <c r="I16" s="19">
        <v>372223</v>
      </c>
      <c r="J16" s="136">
        <v>372284</v>
      </c>
      <c r="K16" s="19">
        <v>376630</v>
      </c>
      <c r="L16" s="136">
        <v>395753</v>
      </c>
      <c r="M16" s="19">
        <v>393039</v>
      </c>
      <c r="N16" s="136">
        <v>406191</v>
      </c>
      <c r="O16" s="19">
        <v>390827</v>
      </c>
      <c r="P16" s="156">
        <v>367529</v>
      </c>
      <c r="Q16" s="127"/>
      <c r="R16" s="127"/>
      <c r="S16" s="127"/>
    </row>
    <row r="17" spans="1:16" ht="15" thickBot="1" x14ac:dyDescent="0.35">
      <c r="A17" s="12">
        <f t="shared" si="0"/>
        <v>10</v>
      </c>
      <c r="B17" s="4"/>
      <c r="C17" s="20" t="s">
        <v>11</v>
      </c>
      <c r="D17" s="6"/>
      <c r="E17" s="18">
        <f t="shared" ref="E17:P17" si="3">E9+E10+E11+E14+E16+E15</f>
        <v>262093660.54500005</v>
      </c>
      <c r="F17" s="135">
        <f t="shared" si="3"/>
        <v>261081832.94500008</v>
      </c>
      <c r="G17" s="18">
        <f t="shared" si="3"/>
        <v>260294581.94499999</v>
      </c>
      <c r="H17" s="135">
        <f t="shared" si="3"/>
        <v>258784757.315</v>
      </c>
      <c r="I17" s="18">
        <f t="shared" si="3"/>
        <v>258841737.35499999</v>
      </c>
      <c r="J17" s="135">
        <f t="shared" si="3"/>
        <v>257686344.94500008</v>
      </c>
      <c r="K17" s="18">
        <f t="shared" si="3"/>
        <v>251529141.49500003</v>
      </c>
      <c r="L17" s="135">
        <f t="shared" si="3"/>
        <v>249558119.45500019</v>
      </c>
      <c r="M17" s="18">
        <f t="shared" si="3"/>
        <v>247943738.3850002</v>
      </c>
      <c r="N17" s="135">
        <f t="shared" si="3"/>
        <v>246653204.49500006</v>
      </c>
      <c r="O17" s="18">
        <f t="shared" si="3"/>
        <v>246011505.97999999</v>
      </c>
      <c r="P17" s="137">
        <f t="shared" si="3"/>
        <v>245336486.81</v>
      </c>
    </row>
    <row r="18" spans="1:16" ht="15" thickTop="1" x14ac:dyDescent="0.3">
      <c r="A18" s="12">
        <f t="shared" si="0"/>
        <v>11</v>
      </c>
      <c r="B18" s="8"/>
      <c r="C18" s="9" t="s">
        <v>12</v>
      </c>
      <c r="D18" s="21">
        <v>9.11E-2</v>
      </c>
      <c r="E18" s="11"/>
      <c r="F18" s="10"/>
      <c r="G18" s="11"/>
      <c r="H18" s="10"/>
      <c r="I18" s="11"/>
      <c r="J18" s="10"/>
      <c r="K18" s="11"/>
      <c r="L18" s="10"/>
      <c r="M18" s="11"/>
      <c r="N18" s="10"/>
      <c r="O18" s="11"/>
      <c r="P18" s="157"/>
    </row>
    <row r="19" spans="1:16" x14ac:dyDescent="0.3">
      <c r="A19" s="12">
        <f t="shared" si="0"/>
        <v>12</v>
      </c>
      <c r="B19" s="8"/>
      <c r="C19" s="9" t="s">
        <v>14</v>
      </c>
      <c r="D19" s="10"/>
      <c r="E19" s="22">
        <f t="shared" ref="E19:P19" si="4">ROUND($D$18/12,6)</f>
        <v>7.5919999999999998E-3</v>
      </c>
      <c r="F19" s="22">
        <f t="shared" si="4"/>
        <v>7.5919999999999998E-3</v>
      </c>
      <c r="G19" s="22">
        <f t="shared" si="4"/>
        <v>7.5919999999999998E-3</v>
      </c>
      <c r="H19" s="22">
        <f t="shared" si="4"/>
        <v>7.5919999999999998E-3</v>
      </c>
      <c r="I19" s="22">
        <f t="shared" si="4"/>
        <v>7.5919999999999998E-3</v>
      </c>
      <c r="J19" s="22">
        <f t="shared" si="4"/>
        <v>7.5919999999999998E-3</v>
      </c>
      <c r="K19" s="22">
        <f t="shared" si="4"/>
        <v>7.5919999999999998E-3</v>
      </c>
      <c r="L19" s="22">
        <f t="shared" si="4"/>
        <v>7.5919999999999998E-3</v>
      </c>
      <c r="M19" s="22">
        <f t="shared" si="4"/>
        <v>7.5919999999999998E-3</v>
      </c>
      <c r="N19" s="22">
        <f t="shared" si="4"/>
        <v>7.5919999999999998E-3</v>
      </c>
      <c r="O19" s="22">
        <f t="shared" si="4"/>
        <v>7.5919999999999998E-3</v>
      </c>
      <c r="P19" s="22">
        <f t="shared" si="4"/>
        <v>7.5919999999999998E-3</v>
      </c>
    </row>
    <row r="20" spans="1:16" x14ac:dyDescent="0.3">
      <c r="A20" s="12">
        <f t="shared" si="0"/>
        <v>13</v>
      </c>
      <c r="B20" s="8"/>
      <c r="C20" s="9" t="s">
        <v>15</v>
      </c>
      <c r="D20" s="10"/>
      <c r="E20" s="14">
        <f t="shared" ref="E20:N20" si="5">ROUND(E17*E19,2)</f>
        <v>1989815.07</v>
      </c>
      <c r="F20" s="32">
        <f t="shared" si="5"/>
        <v>1982133.28</v>
      </c>
      <c r="G20" s="14">
        <f t="shared" si="5"/>
        <v>1976156.47</v>
      </c>
      <c r="H20" s="32">
        <f t="shared" si="5"/>
        <v>1964693.88</v>
      </c>
      <c r="I20" s="14">
        <f t="shared" si="5"/>
        <v>1965126.47</v>
      </c>
      <c r="J20" s="32">
        <f t="shared" si="5"/>
        <v>1956354.73</v>
      </c>
      <c r="K20" s="14">
        <f t="shared" si="5"/>
        <v>1909609.24</v>
      </c>
      <c r="L20" s="32">
        <f t="shared" si="5"/>
        <v>1894645.24</v>
      </c>
      <c r="M20" s="14">
        <f t="shared" si="5"/>
        <v>1882388.86</v>
      </c>
      <c r="N20" s="32">
        <f t="shared" si="5"/>
        <v>1872591.13</v>
      </c>
      <c r="O20" s="14">
        <f t="shared" ref="O20:P20" si="6">ROUND(O17*O19,2)</f>
        <v>1867719.35</v>
      </c>
      <c r="P20" s="152">
        <f t="shared" si="6"/>
        <v>1862594.61</v>
      </c>
    </row>
    <row r="21" spans="1:16" x14ac:dyDescent="0.3">
      <c r="A21" s="12">
        <f t="shared" si="0"/>
        <v>14</v>
      </c>
      <c r="B21" s="8"/>
      <c r="C21" s="9" t="s">
        <v>16</v>
      </c>
      <c r="D21" s="10"/>
      <c r="E21" s="23">
        <v>0</v>
      </c>
      <c r="F21" s="138">
        <v>0</v>
      </c>
      <c r="G21" s="23">
        <v>0</v>
      </c>
      <c r="H21" s="138">
        <v>0</v>
      </c>
      <c r="I21" s="23">
        <v>0</v>
      </c>
      <c r="J21" s="138">
        <v>0</v>
      </c>
      <c r="K21" s="23">
        <v>0</v>
      </c>
      <c r="L21" s="138">
        <v>0</v>
      </c>
      <c r="M21" s="23">
        <v>0</v>
      </c>
      <c r="N21" s="138">
        <v>0</v>
      </c>
      <c r="O21" s="23">
        <v>0</v>
      </c>
      <c r="P21" s="158">
        <v>0</v>
      </c>
    </row>
    <row r="22" spans="1:16" x14ac:dyDescent="0.3">
      <c r="A22" s="12">
        <f t="shared" si="0"/>
        <v>15</v>
      </c>
      <c r="B22" s="8"/>
      <c r="C22" s="9" t="s">
        <v>17</v>
      </c>
      <c r="D22" s="10"/>
      <c r="E22" s="14">
        <v>100904</v>
      </c>
      <c r="F22" s="32">
        <v>77335.319999999963</v>
      </c>
      <c r="G22" s="14">
        <v>61105</v>
      </c>
      <c r="H22" s="32">
        <v>93808</v>
      </c>
      <c r="I22" s="14">
        <v>126801</v>
      </c>
      <c r="J22" s="32">
        <v>110596</v>
      </c>
      <c r="K22" s="14">
        <v>42023</v>
      </c>
      <c r="L22" s="32">
        <v>32059</v>
      </c>
      <c r="M22" s="14">
        <v>156164.52999999997</v>
      </c>
      <c r="N22" s="32">
        <v>118387</v>
      </c>
      <c r="O22" s="14">
        <v>66904</v>
      </c>
      <c r="P22" s="152">
        <v>29357</v>
      </c>
    </row>
    <row r="23" spans="1:16" x14ac:dyDescent="0.3">
      <c r="A23" s="12">
        <f t="shared" si="0"/>
        <v>16</v>
      </c>
      <c r="B23" s="8"/>
      <c r="C23" s="9" t="s">
        <v>18</v>
      </c>
      <c r="D23" s="10"/>
      <c r="E23" s="14">
        <v>42031</v>
      </c>
      <c r="F23" s="32">
        <v>18349.390000000003</v>
      </c>
      <c r="G23" s="14">
        <v>14615</v>
      </c>
      <c r="H23" s="32">
        <v>30551</v>
      </c>
      <c r="I23" s="14">
        <v>35046</v>
      </c>
      <c r="J23" s="32">
        <v>48658</v>
      </c>
      <c r="K23" s="14">
        <v>23524</v>
      </c>
      <c r="L23" s="32">
        <v>8932</v>
      </c>
      <c r="M23" s="14">
        <v>28921.690000000006</v>
      </c>
      <c r="N23" s="32">
        <v>24166</v>
      </c>
      <c r="O23" s="14">
        <v>29701</v>
      </c>
      <c r="P23" s="152">
        <v>23837</v>
      </c>
    </row>
    <row r="24" spans="1:16" x14ac:dyDescent="0.3">
      <c r="A24" s="12">
        <f t="shared" si="0"/>
        <v>17</v>
      </c>
      <c r="B24" s="8"/>
      <c r="C24" s="9" t="s">
        <v>19</v>
      </c>
      <c r="D24" s="10"/>
      <c r="E24" s="23">
        <v>0</v>
      </c>
      <c r="F24" s="138">
        <v>0</v>
      </c>
      <c r="G24" s="23">
        <v>0</v>
      </c>
      <c r="H24" s="138">
        <v>0</v>
      </c>
      <c r="I24" s="23">
        <v>0</v>
      </c>
      <c r="J24" s="138">
        <v>0</v>
      </c>
      <c r="K24" s="23">
        <v>0</v>
      </c>
      <c r="L24" s="138">
        <v>0</v>
      </c>
      <c r="M24" s="23">
        <v>0</v>
      </c>
      <c r="N24" s="138">
        <v>0</v>
      </c>
      <c r="O24" s="23">
        <v>0</v>
      </c>
      <c r="P24" s="158">
        <v>0</v>
      </c>
    </row>
    <row r="25" spans="1:16" x14ac:dyDescent="0.3">
      <c r="A25" s="12">
        <f t="shared" si="0"/>
        <v>18</v>
      </c>
      <c r="B25" s="8"/>
      <c r="C25" s="9" t="s">
        <v>20</v>
      </c>
      <c r="D25" s="10"/>
      <c r="E25" s="14">
        <v>0</v>
      </c>
      <c r="F25" s="32">
        <v>0</v>
      </c>
      <c r="G25" s="14">
        <v>0</v>
      </c>
      <c r="H25" s="32">
        <v>0</v>
      </c>
      <c r="I25" s="14">
        <v>0</v>
      </c>
      <c r="J25" s="32">
        <v>0</v>
      </c>
      <c r="K25" s="14">
        <v>0</v>
      </c>
      <c r="L25" s="32">
        <v>0</v>
      </c>
      <c r="M25" s="14">
        <v>0</v>
      </c>
      <c r="N25" s="32">
        <v>0</v>
      </c>
      <c r="O25" s="14">
        <v>0</v>
      </c>
      <c r="P25" s="152">
        <v>0</v>
      </c>
    </row>
    <row r="26" spans="1:16" x14ac:dyDescent="0.3">
      <c r="A26" s="12">
        <f t="shared" si="0"/>
        <v>19</v>
      </c>
      <c r="B26" s="8"/>
      <c r="C26" s="9" t="s">
        <v>21</v>
      </c>
      <c r="D26" s="10"/>
      <c r="E26" s="14">
        <v>0</v>
      </c>
      <c r="F26" s="32">
        <v>0</v>
      </c>
      <c r="G26" s="14">
        <v>0</v>
      </c>
      <c r="H26" s="32">
        <v>0</v>
      </c>
      <c r="I26" s="14">
        <v>0</v>
      </c>
      <c r="J26" s="32">
        <v>0</v>
      </c>
      <c r="K26" s="14">
        <v>0</v>
      </c>
      <c r="L26" s="32">
        <v>0</v>
      </c>
      <c r="M26" s="14">
        <v>0</v>
      </c>
      <c r="N26" s="32">
        <v>0</v>
      </c>
      <c r="O26" s="14">
        <v>0</v>
      </c>
      <c r="P26" s="152">
        <v>0</v>
      </c>
    </row>
    <row r="27" spans="1:16" x14ac:dyDescent="0.3">
      <c r="A27" s="12">
        <f t="shared" si="0"/>
        <v>20</v>
      </c>
      <c r="B27" s="8"/>
      <c r="C27" s="9" t="s">
        <v>22</v>
      </c>
      <c r="D27" s="10"/>
      <c r="E27" s="14">
        <v>5991</v>
      </c>
      <c r="F27" s="32">
        <v>5991</v>
      </c>
      <c r="G27" s="14">
        <v>5991</v>
      </c>
      <c r="H27" s="32">
        <v>18796.494166666664</v>
      </c>
      <c r="I27" s="14">
        <v>18796.494166666664</v>
      </c>
      <c r="J27" s="32">
        <v>18796.494166666664</v>
      </c>
      <c r="K27" s="14">
        <v>18796.494166666664</v>
      </c>
      <c r="L27" s="32">
        <v>18796.494166666664</v>
      </c>
      <c r="M27" s="14">
        <v>18796.494166666664</v>
      </c>
      <c r="N27" s="32">
        <v>18796.494166666664</v>
      </c>
      <c r="O27" s="14">
        <v>18796.494166666664</v>
      </c>
      <c r="P27" s="152">
        <v>18796.494166666664</v>
      </c>
    </row>
    <row r="28" spans="1:16" x14ac:dyDescent="0.3">
      <c r="A28" s="12">
        <f t="shared" si="0"/>
        <v>21</v>
      </c>
      <c r="B28" s="8"/>
      <c r="C28" s="9" t="s">
        <v>23</v>
      </c>
      <c r="D28" s="10"/>
      <c r="E28" s="14">
        <v>21174</v>
      </c>
      <c r="F28" s="32">
        <v>30709.999999999996</v>
      </c>
      <c r="G28" s="14">
        <v>24820</v>
      </c>
      <c r="H28" s="32">
        <v>39403.53043478261</v>
      </c>
      <c r="I28" s="14">
        <v>40666.20102214651</v>
      </c>
      <c r="J28" s="32">
        <v>45994.229137199436</v>
      </c>
      <c r="K28" s="14">
        <v>24820.183783783785</v>
      </c>
      <c r="L28" s="32">
        <v>22857.008298507462</v>
      </c>
      <c r="M28" s="14">
        <v>37300.476021314389</v>
      </c>
      <c r="N28" s="32">
        <v>41857.975247524751</v>
      </c>
      <c r="O28" s="14">
        <v>28556</v>
      </c>
      <c r="P28" s="152">
        <v>19164</v>
      </c>
    </row>
    <row r="29" spans="1:16" x14ac:dyDescent="0.3">
      <c r="A29" s="12">
        <f>A28+1</f>
        <v>22</v>
      </c>
      <c r="B29" s="8"/>
      <c r="C29" s="9" t="s">
        <v>24</v>
      </c>
      <c r="D29" s="10"/>
      <c r="E29" s="14">
        <v>367</v>
      </c>
      <c r="F29" s="32">
        <v>532</v>
      </c>
      <c r="G29" s="14">
        <v>430.00000000000006</v>
      </c>
      <c r="H29" s="32">
        <v>677.22241681260948</v>
      </c>
      <c r="I29" s="14">
        <v>708.44974446337312</v>
      </c>
      <c r="J29" s="32">
        <v>796.10749646393208</v>
      </c>
      <c r="K29" s="14">
        <v>429.58378378378376</v>
      </c>
      <c r="L29" s="32">
        <v>396.06567164179103</v>
      </c>
      <c r="M29" s="14">
        <v>645.39253996447599</v>
      </c>
      <c r="N29" s="32">
        <v>725.06930693069307</v>
      </c>
      <c r="O29" s="14">
        <v>362</v>
      </c>
      <c r="P29" s="152">
        <v>243</v>
      </c>
    </row>
    <row r="30" spans="1:16" x14ac:dyDescent="0.3">
      <c r="A30" s="12">
        <f t="shared" si="0"/>
        <v>23</v>
      </c>
      <c r="B30" s="8"/>
      <c r="C30" s="9" t="s">
        <v>25</v>
      </c>
      <c r="D30" s="10"/>
      <c r="E30" s="14">
        <v>0</v>
      </c>
      <c r="F30" s="32">
        <v>0</v>
      </c>
      <c r="G30" s="14">
        <v>0</v>
      </c>
      <c r="H30" s="32">
        <v>0</v>
      </c>
      <c r="I30" s="14">
        <v>0</v>
      </c>
      <c r="J30" s="32">
        <v>0</v>
      </c>
      <c r="K30" s="14">
        <v>0</v>
      </c>
      <c r="L30" s="32">
        <v>0</v>
      </c>
      <c r="M30" s="14">
        <v>0</v>
      </c>
      <c r="N30" s="32">
        <v>0</v>
      </c>
      <c r="O30" s="14">
        <v>0</v>
      </c>
      <c r="P30" s="152">
        <v>0</v>
      </c>
    </row>
    <row r="31" spans="1:16" x14ac:dyDescent="0.3">
      <c r="A31" s="12">
        <f t="shared" si="0"/>
        <v>24</v>
      </c>
      <c r="B31" s="8"/>
      <c r="C31" s="9" t="s">
        <v>26</v>
      </c>
      <c r="D31" s="10"/>
      <c r="E31" s="24">
        <v>0</v>
      </c>
      <c r="F31" s="139">
        <v>0</v>
      </c>
      <c r="G31" s="24">
        <v>0</v>
      </c>
      <c r="H31" s="139">
        <v>0</v>
      </c>
      <c r="I31" s="24">
        <v>0</v>
      </c>
      <c r="J31" s="139">
        <v>0</v>
      </c>
      <c r="K31" s="24">
        <v>0</v>
      </c>
      <c r="L31" s="139">
        <v>0</v>
      </c>
      <c r="M31" s="24">
        <v>0</v>
      </c>
      <c r="N31" s="139">
        <v>0</v>
      </c>
      <c r="O31" s="24">
        <v>0</v>
      </c>
      <c r="P31" s="159">
        <v>0</v>
      </c>
    </row>
    <row r="32" spans="1:16" ht="15" thickBot="1" x14ac:dyDescent="0.35">
      <c r="A32" s="12">
        <f t="shared" si="0"/>
        <v>25</v>
      </c>
      <c r="B32" s="4"/>
      <c r="C32" s="20" t="s">
        <v>27</v>
      </c>
      <c r="D32" s="6"/>
      <c r="E32" s="18">
        <f t="shared" ref="E32:N32" si="7">SUM(E20:E31)</f>
        <v>2160282.0700000003</v>
      </c>
      <c r="F32" s="135">
        <f t="shared" si="7"/>
        <v>2115050.9899999998</v>
      </c>
      <c r="G32" s="18">
        <f t="shared" si="7"/>
        <v>2083117.47</v>
      </c>
      <c r="H32" s="135">
        <f t="shared" si="7"/>
        <v>2147930.1270182617</v>
      </c>
      <c r="I32" s="18">
        <f t="shared" si="7"/>
        <v>2187144.6149332765</v>
      </c>
      <c r="J32" s="135">
        <f t="shared" si="7"/>
        <v>2181195.5608003302</v>
      </c>
      <c r="K32" s="18">
        <f t="shared" si="7"/>
        <v>2019202.5017342342</v>
      </c>
      <c r="L32" s="135">
        <f t="shared" si="7"/>
        <v>1977685.8081368159</v>
      </c>
      <c r="M32" s="18">
        <f t="shared" si="7"/>
        <v>2124217.4427279457</v>
      </c>
      <c r="N32" s="135">
        <f t="shared" si="7"/>
        <v>2076523.668721122</v>
      </c>
      <c r="O32" s="18">
        <f t="shared" ref="O32:P32" si="8">SUM(O20:O31)</f>
        <v>2012038.8441666667</v>
      </c>
      <c r="P32" s="154">
        <f t="shared" si="8"/>
        <v>1953992.1041666667</v>
      </c>
    </row>
    <row r="33" spans="1:17" ht="15" thickTop="1" x14ac:dyDescent="0.3">
      <c r="A33" s="12">
        <f t="shared" si="0"/>
        <v>26</v>
      </c>
      <c r="B33" s="8"/>
      <c r="C33" s="9" t="s">
        <v>28</v>
      </c>
      <c r="D33" s="10"/>
      <c r="E33" s="25">
        <v>0</v>
      </c>
      <c r="F33" s="140">
        <v>0</v>
      </c>
      <c r="G33" s="25">
        <v>0</v>
      </c>
      <c r="H33" s="140">
        <v>0</v>
      </c>
      <c r="I33" s="25">
        <v>0</v>
      </c>
      <c r="J33" s="140">
        <v>0</v>
      </c>
      <c r="K33" s="25">
        <v>0</v>
      </c>
      <c r="L33" s="140">
        <v>0</v>
      </c>
      <c r="M33" s="25">
        <v>0</v>
      </c>
      <c r="N33" s="140">
        <v>0</v>
      </c>
      <c r="O33" s="25">
        <v>0</v>
      </c>
      <c r="P33" s="160">
        <v>0</v>
      </c>
    </row>
    <row r="34" spans="1:17" x14ac:dyDescent="0.3">
      <c r="A34" s="12">
        <f t="shared" si="0"/>
        <v>27</v>
      </c>
      <c r="B34" s="8"/>
      <c r="C34" s="9" t="s">
        <v>29</v>
      </c>
      <c r="D34" s="10"/>
      <c r="E34" s="14">
        <v>70287</v>
      </c>
      <c r="F34" s="32">
        <v>51910.759999999995</v>
      </c>
      <c r="G34" s="14">
        <v>6035</v>
      </c>
      <c r="H34" s="32">
        <v>22414.86</v>
      </c>
      <c r="I34" s="121">
        <f>150462-131958</f>
        <v>18504</v>
      </c>
      <c r="J34" s="32">
        <v>57160</v>
      </c>
      <c r="K34" s="14">
        <v>119595.35000000002</v>
      </c>
      <c r="L34" s="32">
        <v>260210</v>
      </c>
      <c r="M34" s="14">
        <v>-11254.579999999994</v>
      </c>
      <c r="N34" s="32">
        <v>125093</v>
      </c>
      <c r="O34" s="14">
        <v>51988</v>
      </c>
      <c r="P34" s="152">
        <v>56492</v>
      </c>
    </row>
    <row r="35" spans="1:17" ht="15" thickBot="1" x14ac:dyDescent="0.35">
      <c r="A35" s="12">
        <f t="shared" si="0"/>
        <v>28</v>
      </c>
      <c r="B35" s="4"/>
      <c r="C35" s="20" t="s">
        <v>30</v>
      </c>
      <c r="D35" s="6"/>
      <c r="E35" s="18">
        <f t="shared" ref="E35:N35" si="9">E33+E34</f>
        <v>70287</v>
      </c>
      <c r="F35" s="135">
        <f t="shared" si="9"/>
        <v>51910.759999999995</v>
      </c>
      <c r="G35" s="18">
        <f t="shared" si="9"/>
        <v>6035</v>
      </c>
      <c r="H35" s="135">
        <f t="shared" si="9"/>
        <v>22414.86</v>
      </c>
      <c r="I35" s="18">
        <f t="shared" si="9"/>
        <v>18504</v>
      </c>
      <c r="J35" s="135">
        <f t="shared" si="9"/>
        <v>57160</v>
      </c>
      <c r="K35" s="18">
        <f t="shared" si="9"/>
        <v>119595.35000000002</v>
      </c>
      <c r="L35" s="135">
        <f t="shared" si="9"/>
        <v>260210</v>
      </c>
      <c r="M35" s="18">
        <f t="shared" si="9"/>
        <v>-11254.579999999994</v>
      </c>
      <c r="N35" s="135">
        <f t="shared" si="9"/>
        <v>125093</v>
      </c>
      <c r="O35" s="18">
        <f t="shared" ref="O35:P35" si="10">O33+O34</f>
        <v>51988</v>
      </c>
      <c r="P35" s="154">
        <f t="shared" si="10"/>
        <v>56492</v>
      </c>
    </row>
    <row r="36" spans="1:17" ht="15" thickTop="1" x14ac:dyDescent="0.3">
      <c r="A36" s="12">
        <f t="shared" si="0"/>
        <v>29</v>
      </c>
      <c r="B36" s="8"/>
      <c r="C36" s="9" t="s">
        <v>31</v>
      </c>
      <c r="D36" s="10"/>
      <c r="E36" s="14">
        <f>ROUND((E5+E6-$D$62)*0.0296/12,0)</f>
        <v>907128</v>
      </c>
      <c r="F36" s="14">
        <f t="shared" ref="F36:P36" si="11">ROUND((F5+F6-$D$62)*0.0296/12,0)</f>
        <v>907289</v>
      </c>
      <c r="G36" s="14">
        <f t="shared" si="11"/>
        <v>907127</v>
      </c>
      <c r="H36" s="14">
        <f t="shared" si="11"/>
        <v>904453</v>
      </c>
      <c r="I36" s="14">
        <f t="shared" si="11"/>
        <v>907619</v>
      </c>
      <c r="J36" s="14">
        <f t="shared" si="11"/>
        <v>907670</v>
      </c>
      <c r="K36" s="14">
        <f t="shared" si="11"/>
        <v>891422</v>
      </c>
      <c r="L36" s="14">
        <f t="shared" si="11"/>
        <v>888785</v>
      </c>
      <c r="M36" s="14">
        <f t="shared" si="11"/>
        <v>888785</v>
      </c>
      <c r="N36" s="14">
        <f t="shared" si="11"/>
        <v>888791</v>
      </c>
      <c r="O36" s="14">
        <f t="shared" si="11"/>
        <v>888803</v>
      </c>
      <c r="P36" s="14">
        <f t="shared" si="11"/>
        <v>891600</v>
      </c>
    </row>
    <row r="37" spans="1:17" x14ac:dyDescent="0.3">
      <c r="A37" s="12">
        <f t="shared" si="0"/>
        <v>30</v>
      </c>
      <c r="B37" s="8"/>
      <c r="C37" s="9" t="s">
        <v>32</v>
      </c>
      <c r="D37" s="10"/>
      <c r="E37" s="14">
        <f>$D$62*0.125/12</f>
        <v>85313.702499999999</v>
      </c>
      <c r="F37" s="32">
        <f>$D$62*0.125/12</f>
        <v>85313.702499999999</v>
      </c>
      <c r="G37" s="14">
        <f t="shared" ref="G37:P37" si="12">$D$63*0.125/12</f>
        <v>97608.25</v>
      </c>
      <c r="H37" s="32">
        <f t="shared" si="12"/>
        <v>97608.25</v>
      </c>
      <c r="I37" s="14">
        <f t="shared" si="12"/>
        <v>97608.25</v>
      </c>
      <c r="J37" s="32">
        <f t="shared" si="12"/>
        <v>97608.25</v>
      </c>
      <c r="K37" s="14">
        <f t="shared" si="12"/>
        <v>97608.25</v>
      </c>
      <c r="L37" s="32">
        <f t="shared" si="12"/>
        <v>97608.25</v>
      </c>
      <c r="M37" s="14">
        <f t="shared" si="12"/>
        <v>97608.25</v>
      </c>
      <c r="N37" s="32">
        <f t="shared" si="12"/>
        <v>97608.25</v>
      </c>
      <c r="O37" s="14">
        <f t="shared" si="12"/>
        <v>97608.25</v>
      </c>
      <c r="P37" s="152">
        <f t="shared" si="12"/>
        <v>97608.25</v>
      </c>
    </row>
    <row r="38" spans="1:17" x14ac:dyDescent="0.3">
      <c r="A38" s="12">
        <f t="shared" si="0"/>
        <v>31</v>
      </c>
      <c r="B38" s="8"/>
      <c r="C38" s="9" t="s">
        <v>33</v>
      </c>
      <c r="D38" s="10"/>
      <c r="E38" s="14">
        <f>ROUND((E5+E6)*('Property Tax'!$B$1*'Property Tax'!$B$3*'Property Tax'!$B$5)/12,0)</f>
        <v>19553</v>
      </c>
      <c r="F38" s="32">
        <f>ROUND((F5+F6)*('Property Tax'!$B$1*'Property Tax'!$B$3*'Property Tax'!$B$5)/12,0)</f>
        <v>19556</v>
      </c>
      <c r="G38" s="14">
        <f>ROUND((G5+G6)*('Property Tax'!$B$1*'Property Tax'!$B$3*'Property Tax'!$B$5)/12,0)</f>
        <v>19553</v>
      </c>
      <c r="H38" s="32">
        <f>ROUND((H5+H6)*('Property Tax'!$B$1*'Property Tax'!$B$3*'Property Tax'!$B$5)/12,0)</f>
        <v>19496</v>
      </c>
      <c r="I38" s="14">
        <f>ROUND((I5+I6)*('Property Tax'!$B$1*'Property Tax'!$B$3*'Property Tax'!$B$5)/12,0)</f>
        <v>19563</v>
      </c>
      <c r="J38" s="32">
        <f>ROUND((J5+J6)*('Property Tax'!$B$1*'Property Tax'!$B$3*'Property Tax'!$B$5)/12,0)</f>
        <v>19564</v>
      </c>
      <c r="K38" s="14">
        <f>ROUND((K5+K6)*('Property Tax'!$B$1*'Property Tax'!$B$3*'Property Tax'!$B$5)/12,0)</f>
        <v>19222</v>
      </c>
      <c r="L38" s="32">
        <f>ROUND((L5+L6)*('Property Tax'!$B$1*'Property Tax'!$B$3*'Property Tax'!$B$5)/12,0)</f>
        <v>19166</v>
      </c>
      <c r="M38" s="14">
        <f>ROUND((M5+M6)*('Property Tax'!$B$1*'Property Tax'!$B$3*'Property Tax'!$B$5)/12,0)</f>
        <v>19166</v>
      </c>
      <c r="N38" s="32">
        <f>ROUND((N5+N6)*('Property Tax'!$B$1*'Property Tax'!$B$3*'Property Tax'!$B$5)/12,0)</f>
        <v>19166</v>
      </c>
      <c r="O38" s="14">
        <f>ROUND((O5+O6)*('Property Tax'!$B$1*'Property Tax'!$B$3*'Property Tax'!$B$5)/12,0)</f>
        <v>19166</v>
      </c>
      <c r="P38" s="152">
        <f>ROUND((P5+P6)*('Property Tax'!$B$1*'Property Tax'!$B$3*'Property Tax'!$B$5)/12,0)</f>
        <v>19225</v>
      </c>
    </row>
    <row r="39" spans="1:17" ht="15" thickBot="1" x14ac:dyDescent="0.35">
      <c r="A39" s="12">
        <f t="shared" si="0"/>
        <v>32</v>
      </c>
      <c r="B39" s="4"/>
      <c r="C39" s="20" t="s">
        <v>34</v>
      </c>
      <c r="D39" s="6"/>
      <c r="E39" s="49">
        <f t="shared" ref="E39:N39" si="13">SUM(E36:E38)</f>
        <v>1011994.7025</v>
      </c>
      <c r="F39" s="141">
        <f t="shared" si="13"/>
        <v>1012158.7025</v>
      </c>
      <c r="G39" s="49">
        <f t="shared" si="13"/>
        <v>1024288.25</v>
      </c>
      <c r="H39" s="141">
        <f t="shared" si="13"/>
        <v>1021557.25</v>
      </c>
      <c r="I39" s="162">
        <f t="shared" si="13"/>
        <v>1024790.25</v>
      </c>
      <c r="J39" s="141">
        <f t="shared" si="13"/>
        <v>1024842.25</v>
      </c>
      <c r="K39" s="162">
        <f t="shared" si="13"/>
        <v>1008252.25</v>
      </c>
      <c r="L39" s="141">
        <f t="shared" si="13"/>
        <v>1005559.25</v>
      </c>
      <c r="M39" s="162">
        <f t="shared" si="13"/>
        <v>1005559.25</v>
      </c>
      <c r="N39" s="141">
        <f t="shared" si="13"/>
        <v>1005565.25</v>
      </c>
      <c r="O39" s="162">
        <f t="shared" ref="O39:P39" si="14">SUM(O36:O38)</f>
        <v>1005577.25</v>
      </c>
      <c r="P39" s="161">
        <f t="shared" si="14"/>
        <v>1008433.25</v>
      </c>
    </row>
    <row r="40" spans="1:17" ht="15" thickBot="1" x14ac:dyDescent="0.35">
      <c r="A40" s="26">
        <f t="shared" si="0"/>
        <v>33</v>
      </c>
      <c r="B40" s="4"/>
      <c r="C40" s="27" t="s">
        <v>36</v>
      </c>
      <c r="D40" s="28"/>
      <c r="E40" s="50">
        <f t="shared" ref="E40:N40" si="15">SUM(E32+E35+E39)</f>
        <v>3242563.7725000004</v>
      </c>
      <c r="F40" s="142">
        <f t="shared" si="15"/>
        <v>3179120.4524999997</v>
      </c>
      <c r="G40" s="50">
        <f t="shared" si="15"/>
        <v>3113440.7199999997</v>
      </c>
      <c r="H40" s="146">
        <f t="shared" si="15"/>
        <v>3191902.2370182616</v>
      </c>
      <c r="I40" s="130">
        <f t="shared" si="15"/>
        <v>3230438.8649332765</v>
      </c>
      <c r="J40" s="130">
        <f t="shared" si="15"/>
        <v>3263197.8108003302</v>
      </c>
      <c r="K40" s="130">
        <f t="shared" si="15"/>
        <v>3147050.101734234</v>
      </c>
      <c r="L40" s="130">
        <f t="shared" si="15"/>
        <v>3243455.0581368161</v>
      </c>
      <c r="M40" s="130">
        <f t="shared" si="15"/>
        <v>3118522.1127279457</v>
      </c>
      <c r="N40" s="130">
        <f t="shared" si="15"/>
        <v>3207181.9187211217</v>
      </c>
      <c r="O40" s="130">
        <f t="shared" ref="O40:P40" si="16">SUM(O32+O35+O39)</f>
        <v>3069604.0941666667</v>
      </c>
      <c r="P40" s="131">
        <f t="shared" si="16"/>
        <v>3018917.354166667</v>
      </c>
    </row>
    <row r="41" spans="1:17" x14ac:dyDescent="0.3">
      <c r="C41" s="51" t="s">
        <v>37</v>
      </c>
      <c r="E41" s="35">
        <f>Rockport!E27</f>
        <v>514230.66</v>
      </c>
      <c r="F41" s="35">
        <f>Rockport!F27</f>
        <v>751106.9</v>
      </c>
      <c r="G41" s="35">
        <f>Rockport!G27</f>
        <v>749547.42</v>
      </c>
      <c r="H41" s="35">
        <f>Rockport!H27</f>
        <v>901719.15</v>
      </c>
      <c r="I41" s="35">
        <f>Rockport!I27</f>
        <v>902729.65</v>
      </c>
      <c r="J41" s="35">
        <f>Rockport!J27</f>
        <v>890223.48</v>
      </c>
      <c r="K41" s="35">
        <f>Rockport!K27</f>
        <v>761093.3</v>
      </c>
      <c r="L41" s="35">
        <f>Rockport!L27</f>
        <v>838037.54</v>
      </c>
      <c r="M41" s="35">
        <f>Rockport!M27</f>
        <v>853952.45</v>
      </c>
      <c r="N41" s="35">
        <f>Rockport!N27</f>
        <v>934401.61</v>
      </c>
      <c r="O41" s="35">
        <f>Rockport!O27</f>
        <v>848222.64</v>
      </c>
      <c r="P41" s="35">
        <f>Rockport!P27</f>
        <v>814550.89</v>
      </c>
    </row>
    <row r="42" spans="1:17" x14ac:dyDescent="0.3">
      <c r="C42" s="42" t="s">
        <v>38</v>
      </c>
      <c r="E42" s="38">
        <v>134076</v>
      </c>
      <c r="F42" s="38">
        <v>0</v>
      </c>
      <c r="G42" s="38">
        <v>0</v>
      </c>
      <c r="H42" s="38">
        <v>0</v>
      </c>
      <c r="I42" s="38">
        <v>119500</v>
      </c>
      <c r="J42" s="38">
        <v>0</v>
      </c>
      <c r="K42" s="38">
        <v>13073</v>
      </c>
      <c r="L42" s="38">
        <v>0</v>
      </c>
      <c r="M42" s="38">
        <v>0</v>
      </c>
      <c r="N42" s="38">
        <v>5100</v>
      </c>
      <c r="O42" s="38">
        <v>0</v>
      </c>
      <c r="P42" s="38">
        <v>0</v>
      </c>
    </row>
    <row r="43" spans="1:17" s="39" customFormat="1" x14ac:dyDescent="0.3">
      <c r="A43" s="91"/>
      <c r="B43" s="91"/>
      <c r="C43" s="42" t="s">
        <v>54</v>
      </c>
      <c r="D43" s="91"/>
      <c r="E43" s="92">
        <f t="shared" ref="E43:N43" si="17">ROUND(E40+E41-E42,0)</f>
        <v>3622718</v>
      </c>
      <c r="F43" s="92">
        <f t="shared" si="17"/>
        <v>3930227</v>
      </c>
      <c r="G43" s="92">
        <f t="shared" si="17"/>
        <v>3862988</v>
      </c>
      <c r="H43" s="92">
        <f t="shared" si="17"/>
        <v>4093621</v>
      </c>
      <c r="I43" s="92">
        <f t="shared" si="17"/>
        <v>4013669</v>
      </c>
      <c r="J43" s="92">
        <f t="shared" si="17"/>
        <v>4153421</v>
      </c>
      <c r="K43" s="92">
        <f t="shared" si="17"/>
        <v>3895070</v>
      </c>
      <c r="L43" s="92">
        <f t="shared" si="17"/>
        <v>4081493</v>
      </c>
      <c r="M43" s="92">
        <f t="shared" si="17"/>
        <v>3972475</v>
      </c>
      <c r="N43" s="92">
        <f t="shared" si="17"/>
        <v>4136484</v>
      </c>
      <c r="O43" s="92">
        <f t="shared" ref="O43:P43" si="18">ROUND(O40+O41-O42,0)</f>
        <v>3917827</v>
      </c>
      <c r="P43" s="92">
        <f t="shared" si="18"/>
        <v>3833468</v>
      </c>
      <c r="Q43" s="40">
        <f>SUM(E43:P43)</f>
        <v>47513461</v>
      </c>
    </row>
    <row r="44" spans="1:17" x14ac:dyDescent="0.3">
      <c r="C44" s="94" t="s">
        <v>43</v>
      </c>
      <c r="D44" s="91"/>
      <c r="E44" s="93">
        <f>ROUND(E43*'Allocation Factors'!E$3,0)</f>
        <v>3499546</v>
      </c>
      <c r="F44" s="93">
        <f>ROUND(F43*'Allocation Factors'!F$3,0)</f>
        <v>3812320</v>
      </c>
      <c r="G44" s="93">
        <f>ROUND(G43*'Allocation Factors'!G$3,0)</f>
        <v>3766413</v>
      </c>
      <c r="H44" s="93">
        <f>ROUND(H43*'Allocation Factors'!H$3,0)</f>
        <v>3639229</v>
      </c>
      <c r="I44" s="93">
        <f>ROUND(I43*'Allocation Factors'!I$3,0)</f>
        <v>3403591</v>
      </c>
      <c r="J44" s="93">
        <f>ROUND(J43*'Allocation Factors'!J$3,0)</f>
        <v>3588556</v>
      </c>
      <c r="K44" s="93">
        <f>ROUND(K43*'Allocation Factors'!K$3,0)</f>
        <v>3719792</v>
      </c>
      <c r="L44" s="93">
        <f>ROUND(L43*'Allocation Factors'!L$3,0)</f>
        <v>3812114</v>
      </c>
      <c r="M44" s="93">
        <f>ROUND(M43*'Allocation Factors'!M$3,0)</f>
        <v>3241540</v>
      </c>
      <c r="N44" s="93">
        <f>ROUND(N43*'Allocation Factors'!N$3,0)</f>
        <v>3743518</v>
      </c>
      <c r="O44" s="93">
        <f>ROUND(O43*'Allocation Factors'!O$3,0)</f>
        <v>3768950</v>
      </c>
      <c r="P44" s="93">
        <f>ROUND(P43*'Allocation Factors'!P$3,0)</f>
        <v>3722297</v>
      </c>
      <c r="Q44" s="40"/>
    </row>
    <row r="46" spans="1:17" x14ac:dyDescent="0.3"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8" spans="1:17" x14ac:dyDescent="0.3"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50" spans="3:16" x14ac:dyDescent="0.3"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8" spans="3:16" x14ac:dyDescent="0.3">
      <c r="P58" s="39" t="s">
        <v>13</v>
      </c>
    </row>
    <row r="62" spans="3:16" x14ac:dyDescent="0.3">
      <c r="C62" t="s">
        <v>52</v>
      </c>
      <c r="D62" s="48">
        <v>8190115.4399999995</v>
      </c>
    </row>
    <row r="63" spans="3:16" x14ac:dyDescent="0.3">
      <c r="C63" t="s">
        <v>51</v>
      </c>
      <c r="D63" s="38">
        <v>9370392</v>
      </c>
    </row>
  </sheetData>
  <mergeCells count="2">
    <mergeCell ref="A2:A3"/>
    <mergeCell ref="E2:P3"/>
  </mergeCells>
  <pageMargins left="0.7" right="0.7" top="0.75" bottom="0.75" header="0.3" footer="0.3"/>
  <pageSetup scale="91" orientation="portrait" r:id="rId1"/>
  <colBreaks count="1" manualBreakCount="1">
    <brk id="4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4" sqref="B14"/>
    </sheetView>
  </sheetViews>
  <sheetFormatPr defaultRowHeight="14.4" x14ac:dyDescent="0.3"/>
  <cols>
    <col min="1" max="1" width="14.6640625" style="39" customWidth="1"/>
    <col min="2" max="2" width="26.109375" style="39" customWidth="1"/>
  </cols>
  <sheetData>
    <row r="1" spans="1:2" s="39" customFormat="1" x14ac:dyDescent="0.3">
      <c r="A1" s="257" t="s">
        <v>105</v>
      </c>
      <c r="B1" s="258" t="s">
        <v>106</v>
      </c>
    </row>
    <row r="2" spans="1:2" x14ac:dyDescent="0.3">
      <c r="A2" s="39" t="s">
        <v>107</v>
      </c>
      <c r="B2" s="256">
        <f>'Non-FGD'!E$43</f>
        <v>3622718</v>
      </c>
    </row>
    <row r="3" spans="1:2" x14ac:dyDescent="0.3">
      <c r="A3" s="39" t="s">
        <v>108</v>
      </c>
      <c r="B3" s="256">
        <f>'Non-FGD'!F$43</f>
        <v>3930227</v>
      </c>
    </row>
    <row r="4" spans="1:2" x14ac:dyDescent="0.3">
      <c r="A4" s="39" t="s">
        <v>72</v>
      </c>
      <c r="B4" s="256">
        <f>'Non-FGD'!G$43</f>
        <v>3862988</v>
      </c>
    </row>
    <row r="5" spans="1:2" x14ac:dyDescent="0.3">
      <c r="A5" s="39" t="s">
        <v>109</v>
      </c>
      <c r="B5" s="256">
        <f>'Non-FGD'!H$43</f>
        <v>4093621</v>
      </c>
    </row>
    <row r="6" spans="1:2" x14ac:dyDescent="0.3">
      <c r="A6" s="39" t="s">
        <v>110</v>
      </c>
      <c r="B6" s="256">
        <f>'Non-FGD'!I$43</f>
        <v>4013669</v>
      </c>
    </row>
    <row r="7" spans="1:2" x14ac:dyDescent="0.3">
      <c r="A7" s="39" t="s">
        <v>111</v>
      </c>
      <c r="B7" s="256">
        <f>'Non-FGD'!J$43</f>
        <v>4153421</v>
      </c>
    </row>
    <row r="8" spans="1:2" x14ac:dyDescent="0.3">
      <c r="A8" s="39" t="s">
        <v>112</v>
      </c>
      <c r="B8" s="256">
        <f>'Non-FGD'!K$43</f>
        <v>3895070</v>
      </c>
    </row>
    <row r="9" spans="1:2" x14ac:dyDescent="0.3">
      <c r="A9" s="39" t="s">
        <v>113</v>
      </c>
      <c r="B9" s="256">
        <f>'Non-FGD'!L$43</f>
        <v>4081493</v>
      </c>
    </row>
    <row r="10" spans="1:2" x14ac:dyDescent="0.3">
      <c r="A10" s="39" t="s">
        <v>114</v>
      </c>
      <c r="B10" s="256">
        <f>'Non-FGD'!M$43</f>
        <v>3972475</v>
      </c>
    </row>
    <row r="11" spans="1:2" x14ac:dyDescent="0.3">
      <c r="A11" s="39" t="s">
        <v>115</v>
      </c>
      <c r="B11" s="256">
        <f>'Non-FGD'!N$43</f>
        <v>4136484</v>
      </c>
    </row>
    <row r="12" spans="1:2" x14ac:dyDescent="0.3">
      <c r="A12" s="39" t="s">
        <v>116</v>
      </c>
      <c r="B12" s="256">
        <f>'Non-FGD'!O$43</f>
        <v>3917827</v>
      </c>
    </row>
    <row r="13" spans="1:2" x14ac:dyDescent="0.3">
      <c r="A13" s="39" t="s">
        <v>117</v>
      </c>
      <c r="B13" s="256">
        <f>'Non-FGD'!P$43</f>
        <v>3833468</v>
      </c>
    </row>
    <row r="14" spans="1:2" ht="15" thickBot="1" x14ac:dyDescent="0.35">
      <c r="B14" s="259">
        <f>SUM(B2:B13)</f>
        <v>47513461</v>
      </c>
    </row>
    <row r="15" spans="1:2" ht="15" thickTop="1" x14ac:dyDescent="0.3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4" sqref="B14"/>
    </sheetView>
  </sheetViews>
  <sheetFormatPr defaultRowHeight="14.4" x14ac:dyDescent="0.3"/>
  <cols>
    <col min="1" max="1" width="32.44140625" customWidth="1"/>
  </cols>
  <sheetData>
    <row r="1" spans="1:2" x14ac:dyDescent="0.3">
      <c r="A1" s="45" t="s">
        <v>48</v>
      </c>
      <c r="B1" s="46">
        <v>2.0804E-2</v>
      </c>
    </row>
    <row r="2" spans="1:2" x14ac:dyDescent="0.3">
      <c r="A2" s="45"/>
      <c r="B2" s="45"/>
    </row>
    <row r="3" spans="1:2" x14ac:dyDescent="0.3">
      <c r="A3" s="45" t="s">
        <v>49</v>
      </c>
      <c r="B3" s="47">
        <v>0.6</v>
      </c>
    </row>
    <row r="4" spans="1:2" x14ac:dyDescent="0.3">
      <c r="A4" s="45"/>
      <c r="B4" s="45"/>
    </row>
    <row r="5" spans="1:2" x14ac:dyDescent="0.3">
      <c r="A5" s="45" t="s">
        <v>50</v>
      </c>
      <c r="B5" s="47">
        <v>0.05</v>
      </c>
    </row>
    <row r="36" spans="5:5" x14ac:dyDescent="0.3">
      <c r="E36" t="s"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zoomScaleNormal="100" workbookViewId="0">
      <selection activeCell="C15" sqref="C15"/>
    </sheetView>
  </sheetViews>
  <sheetFormatPr defaultRowHeight="14.4" x14ac:dyDescent="0.3"/>
  <cols>
    <col min="1" max="1" width="31.88671875" customWidth="1"/>
  </cols>
  <sheetData>
    <row r="2" spans="1:16" x14ac:dyDescent="0.3">
      <c r="C2" s="29">
        <v>42370</v>
      </c>
      <c r="D2" s="29">
        <f>C2+31</f>
        <v>42401</v>
      </c>
      <c r="E2" s="29">
        <f>D2+31</f>
        <v>42432</v>
      </c>
      <c r="F2" s="29">
        <f t="shared" ref="F2:P2" si="0">E2+31</f>
        <v>42463</v>
      </c>
      <c r="G2" s="29">
        <f t="shared" si="0"/>
        <v>42494</v>
      </c>
      <c r="H2" s="29">
        <f t="shared" si="0"/>
        <v>42525</v>
      </c>
      <c r="I2" s="29">
        <f t="shared" si="0"/>
        <v>42556</v>
      </c>
      <c r="J2" s="29">
        <f t="shared" si="0"/>
        <v>42587</v>
      </c>
      <c r="K2" s="29">
        <f t="shared" si="0"/>
        <v>42618</v>
      </c>
      <c r="L2" s="29">
        <f t="shared" si="0"/>
        <v>42649</v>
      </c>
      <c r="M2" s="29">
        <f t="shared" si="0"/>
        <v>42680</v>
      </c>
      <c r="N2" s="29">
        <f t="shared" si="0"/>
        <v>42711</v>
      </c>
      <c r="O2" s="29">
        <f t="shared" si="0"/>
        <v>42742</v>
      </c>
      <c r="P2" s="29">
        <f t="shared" si="0"/>
        <v>42773</v>
      </c>
    </row>
    <row r="3" spans="1:16" x14ac:dyDescent="0.3">
      <c r="A3" s="33" t="s">
        <v>39</v>
      </c>
      <c r="C3" s="37">
        <v>0.97399999999999998</v>
      </c>
      <c r="D3" s="37">
        <v>0.97199999999999998</v>
      </c>
      <c r="E3" s="37">
        <v>0.96599999999999997</v>
      </c>
      <c r="F3" s="37">
        <v>0.97</v>
      </c>
      <c r="G3" s="37">
        <v>0.97499999999999998</v>
      </c>
      <c r="H3" s="37">
        <v>0.88900000000000001</v>
      </c>
      <c r="I3" s="37">
        <v>0.84799999999999998</v>
      </c>
      <c r="J3" s="37">
        <v>0.86399999999999999</v>
      </c>
      <c r="K3" s="37">
        <v>0.95499999999999996</v>
      </c>
      <c r="L3" s="37">
        <v>0.93400000000000005</v>
      </c>
      <c r="M3" s="37">
        <v>0.81599999999999995</v>
      </c>
      <c r="N3" s="37">
        <v>0.90500000000000003</v>
      </c>
      <c r="O3" s="125">
        <v>0.96200000000000008</v>
      </c>
      <c r="P3" s="125">
        <v>0.97099999999999997</v>
      </c>
    </row>
    <row r="4" spans="1:16" x14ac:dyDescent="0.3">
      <c r="A4" s="33" t="s">
        <v>40</v>
      </c>
      <c r="C4" s="36">
        <v>1.2999999999999999E-2</v>
      </c>
      <c r="D4" s="36">
        <v>1.0999999999999999E-2</v>
      </c>
      <c r="E4" s="36">
        <v>8.9999999999999993E-3</v>
      </c>
      <c r="F4" s="36">
        <v>1.0999999999999999E-2</v>
      </c>
      <c r="G4" s="36">
        <v>-8.9999999999999993E-3</v>
      </c>
      <c r="H4" s="36">
        <v>8.0000000000000002E-3</v>
      </c>
      <c r="I4" s="36">
        <v>8.9999999999999993E-3</v>
      </c>
      <c r="J4" s="36">
        <v>0.01</v>
      </c>
      <c r="K4" s="36">
        <v>8.9999999999999993E-3</v>
      </c>
      <c r="L4" s="36">
        <v>8.0000000000000002E-3</v>
      </c>
      <c r="M4" s="36">
        <v>8.9999999999999993E-3</v>
      </c>
      <c r="N4" s="36">
        <v>0.01</v>
      </c>
      <c r="O4" s="126">
        <v>0.01</v>
      </c>
      <c r="P4" s="126">
        <v>8.9999999999999993E-3</v>
      </c>
    </row>
    <row r="5" spans="1:16" x14ac:dyDescent="0.3">
      <c r="A5" s="33" t="s">
        <v>41</v>
      </c>
      <c r="C5" s="36">
        <v>0</v>
      </c>
      <c r="D5" s="36">
        <v>1E-3</v>
      </c>
      <c r="E5" s="36">
        <v>4.0000000000000001E-3</v>
      </c>
      <c r="F5" s="36">
        <v>0</v>
      </c>
      <c r="G5" s="36">
        <v>1E-3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126">
        <v>0</v>
      </c>
      <c r="P5" s="126">
        <v>0</v>
      </c>
    </row>
    <row r="6" spans="1:16" x14ac:dyDescent="0.3">
      <c r="A6" s="33" t="s">
        <v>42</v>
      </c>
      <c r="C6" s="36">
        <v>1.2999999999999999E-2</v>
      </c>
      <c r="D6" s="36">
        <v>1.6E-2</v>
      </c>
      <c r="E6" s="36">
        <v>2.1000000000000001E-2</v>
      </c>
      <c r="F6" s="36">
        <v>1.9E-2</v>
      </c>
      <c r="G6" s="36">
        <v>3.3000000000000002E-2</v>
      </c>
      <c r="H6" s="36">
        <v>0.10299999999999999</v>
      </c>
      <c r="I6" s="36">
        <v>0.14399999999999999</v>
      </c>
      <c r="J6" s="36">
        <v>0.126</v>
      </c>
      <c r="K6" s="36">
        <v>3.5999999999999997E-2</v>
      </c>
      <c r="L6" s="36">
        <v>5.7000000000000002E-2</v>
      </c>
      <c r="M6" s="36">
        <v>0.17499999999999999</v>
      </c>
      <c r="N6" s="36">
        <v>8.5000000000000006E-2</v>
      </c>
      <c r="O6" s="126">
        <v>2.8999999999999998E-2</v>
      </c>
      <c r="P6" s="126">
        <v>0.02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pane ySplit="8" topLeftCell="A9" activePane="bottomLeft" state="frozen"/>
      <selection activeCell="J30" sqref="J30"/>
      <selection pane="bottomLeft" activeCell="J14" sqref="J14"/>
    </sheetView>
  </sheetViews>
  <sheetFormatPr defaultColWidth="8.88671875" defaultRowHeight="13.2" x14ac:dyDescent="0.25"/>
  <cols>
    <col min="1" max="1" width="10.6640625" style="164" customWidth="1"/>
    <col min="2" max="2" width="5" style="163" bestFit="1" customWidth="1"/>
    <col min="3" max="3" width="0.33203125" style="164" customWidth="1"/>
    <col min="4" max="4" width="12.6640625" style="164" customWidth="1"/>
    <col min="5" max="5" width="0.33203125" style="164" customWidth="1"/>
    <col min="6" max="6" width="15.6640625" style="164" customWidth="1"/>
    <col min="7" max="7" width="0.33203125" style="164" customWidth="1"/>
    <col min="8" max="8" width="12.88671875" style="164" customWidth="1"/>
    <col min="9" max="9" width="0.33203125" style="164" customWidth="1"/>
    <col min="10" max="10" width="12.6640625" style="164" customWidth="1"/>
    <col min="11" max="11" width="3.6640625" style="164" customWidth="1"/>
    <col min="12" max="12" width="0.33203125" style="164" customWidth="1"/>
    <col min="13" max="13" width="12.6640625" style="164" customWidth="1"/>
    <col min="14" max="14" width="0.33203125" style="164" customWidth="1"/>
    <col min="15" max="15" width="9.6640625" style="164" customWidth="1"/>
    <col min="16" max="16" width="0.33203125" style="164" customWidth="1"/>
    <col min="17" max="17" width="3.6640625" style="164" customWidth="1"/>
    <col min="18" max="18" width="0.33203125" style="164" customWidth="1"/>
    <col min="19" max="19" width="12" style="164" bestFit="1" customWidth="1"/>
    <col min="20" max="20" width="2.33203125" style="164" customWidth="1"/>
    <col min="21" max="16384" width="8.88671875" style="164"/>
  </cols>
  <sheetData>
    <row r="1" spans="2:20" ht="15" customHeight="1" x14ac:dyDescent="0.25"/>
    <row r="2" spans="2:20" x14ac:dyDescent="0.25">
      <c r="Q2" s="164" t="s">
        <v>73</v>
      </c>
    </row>
    <row r="4" spans="2:20" x14ac:dyDescent="0.25">
      <c r="F4" s="165" t="s">
        <v>74</v>
      </c>
    </row>
    <row r="5" spans="2:20" x14ac:dyDescent="0.25">
      <c r="H5" s="164" t="s">
        <v>75</v>
      </c>
    </row>
    <row r="6" spans="2:20" x14ac:dyDescent="0.25">
      <c r="H6" s="166" t="s">
        <v>76</v>
      </c>
    </row>
    <row r="8" spans="2:20" x14ac:dyDescent="0.25">
      <c r="J8" s="163" t="s">
        <v>13</v>
      </c>
    </row>
    <row r="9" spans="2:20" ht="13.8" thickBot="1" x14ac:dyDescent="0.3"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2:20" ht="30" customHeight="1" thickBot="1" x14ac:dyDescent="0.3">
      <c r="B10" s="169" t="s">
        <v>77</v>
      </c>
      <c r="C10" s="170"/>
      <c r="D10" s="171" t="s">
        <v>78</v>
      </c>
      <c r="E10" s="172"/>
      <c r="F10" s="173" t="s">
        <v>79</v>
      </c>
      <c r="G10" s="172"/>
      <c r="H10" s="173" t="s">
        <v>80</v>
      </c>
      <c r="I10" s="172"/>
      <c r="J10" s="173" t="s">
        <v>81</v>
      </c>
      <c r="K10" s="174"/>
      <c r="L10" s="172"/>
      <c r="M10" s="173" t="s">
        <v>82</v>
      </c>
      <c r="N10" s="175"/>
      <c r="O10" s="176" t="s">
        <v>83</v>
      </c>
      <c r="P10" s="177"/>
      <c r="Q10" s="178"/>
      <c r="R10" s="175"/>
      <c r="S10" s="179" t="s">
        <v>84</v>
      </c>
      <c r="T10" s="180"/>
    </row>
    <row r="11" spans="2:20" ht="30" customHeight="1" thickBot="1" x14ac:dyDescent="0.3">
      <c r="B11" s="181"/>
      <c r="C11" s="182"/>
      <c r="D11" s="183"/>
      <c r="E11" s="182"/>
      <c r="F11" s="184" t="s">
        <v>85</v>
      </c>
      <c r="G11" s="182"/>
      <c r="H11" s="183"/>
      <c r="I11" s="182"/>
      <c r="J11" s="183"/>
      <c r="K11" s="185"/>
      <c r="L11" s="182"/>
      <c r="M11" s="183"/>
      <c r="N11" s="186"/>
      <c r="O11" s="187"/>
      <c r="P11" s="188"/>
      <c r="Q11" s="189"/>
      <c r="R11" s="186"/>
      <c r="S11" s="190"/>
      <c r="T11" s="180"/>
    </row>
    <row r="12" spans="2:20" ht="12.75" customHeight="1" x14ac:dyDescent="0.25">
      <c r="B12" s="191"/>
      <c r="C12" s="192"/>
      <c r="D12" s="193"/>
      <c r="E12" s="192"/>
      <c r="F12" s="193"/>
      <c r="G12" s="192"/>
      <c r="H12" s="193"/>
      <c r="I12" s="192"/>
      <c r="J12" s="193"/>
      <c r="K12" s="194"/>
      <c r="L12" s="192"/>
      <c r="M12" s="193"/>
      <c r="N12" s="192"/>
      <c r="O12" s="193"/>
      <c r="P12" s="192"/>
      <c r="Q12" s="193"/>
      <c r="R12" s="192"/>
      <c r="S12" s="195"/>
      <c r="T12" s="168"/>
    </row>
    <row r="13" spans="2:20" ht="15" customHeight="1" x14ac:dyDescent="0.3">
      <c r="B13" s="196">
        <v>1</v>
      </c>
      <c r="C13" s="186"/>
      <c r="D13" s="189" t="s">
        <v>86</v>
      </c>
      <c r="E13" s="186"/>
      <c r="F13" s="197">
        <v>648913758</v>
      </c>
      <c r="G13" s="186"/>
      <c r="H13" s="198">
        <f>ROUND(F13/$F$18,4)</f>
        <v>0.54449999999999998</v>
      </c>
      <c r="I13" s="186"/>
      <c r="J13" s="199">
        <v>4.36E-2</v>
      </c>
      <c r="K13" s="200"/>
      <c r="L13" s="186"/>
      <c r="M13" s="198">
        <f>ROUND(H13*J13,4)</f>
        <v>2.3699999999999999E-2</v>
      </c>
      <c r="N13" s="186"/>
      <c r="O13" s="201">
        <f>O42</f>
        <v>1.0053700000000001</v>
      </c>
      <c r="P13" s="186"/>
      <c r="Q13" s="202"/>
      <c r="R13" s="186"/>
      <c r="S13" s="203">
        <f>ROUND(M13*O13,6)</f>
        <v>2.3827000000000001E-2</v>
      </c>
      <c r="T13" s="204"/>
    </row>
    <row r="14" spans="2:20" ht="14.4" x14ac:dyDescent="0.3">
      <c r="B14" s="196">
        <f>+B13+1</f>
        <v>2</v>
      </c>
      <c r="C14" s="186"/>
      <c r="D14" s="189" t="s">
        <v>87</v>
      </c>
      <c r="E14" s="186"/>
      <c r="F14" s="197">
        <v>0</v>
      </c>
      <c r="G14" s="186"/>
      <c r="H14" s="198">
        <f>ROUND(F14/$F$18,4)</f>
        <v>0</v>
      </c>
      <c r="I14" s="186"/>
      <c r="J14" s="199">
        <v>8.0000000000000002E-3</v>
      </c>
      <c r="K14" s="200"/>
      <c r="L14" s="186"/>
      <c r="M14" s="198">
        <f>ROUND(H14*J14,4)</f>
        <v>0</v>
      </c>
      <c r="N14" s="186"/>
      <c r="O14" s="201">
        <f>O42</f>
        <v>1.0053700000000001</v>
      </c>
      <c r="P14" s="186"/>
      <c r="Q14" s="189"/>
      <c r="R14" s="186"/>
      <c r="S14" s="203">
        <f>ROUND(M14*O14,6)</f>
        <v>0</v>
      </c>
      <c r="T14" s="204"/>
    </row>
    <row r="15" spans="2:20" ht="25.8" x14ac:dyDescent="0.3">
      <c r="B15" s="196">
        <f>+B14+1</f>
        <v>3</v>
      </c>
      <c r="C15" s="186"/>
      <c r="D15" s="205" t="s">
        <v>88</v>
      </c>
      <c r="E15" s="186"/>
      <c r="F15" s="197">
        <v>46105009</v>
      </c>
      <c r="G15" s="186"/>
      <c r="H15" s="198">
        <f>ROUND(F15/$F$18,4)</f>
        <v>3.8699999999999998E-2</v>
      </c>
      <c r="I15" s="186"/>
      <c r="J15" s="199">
        <v>1.95E-2</v>
      </c>
      <c r="K15" s="200"/>
      <c r="L15" s="186"/>
      <c r="M15" s="198">
        <f>ROUND(H15*J15,4)</f>
        <v>8.0000000000000004E-4</v>
      </c>
      <c r="N15" s="186"/>
      <c r="O15" s="201">
        <f>O42</f>
        <v>1.0053700000000001</v>
      </c>
      <c r="P15" s="186"/>
      <c r="Q15" s="189"/>
      <c r="R15" s="186"/>
      <c r="S15" s="203">
        <f>ROUND(M15*O15,6)</f>
        <v>8.0400000000000003E-4</v>
      </c>
      <c r="T15" s="204"/>
    </row>
    <row r="16" spans="2:20" ht="14.4" x14ac:dyDescent="0.3">
      <c r="B16" s="196">
        <f>+B15+1</f>
        <v>4</v>
      </c>
      <c r="C16" s="186"/>
      <c r="D16" s="189" t="s">
        <v>89</v>
      </c>
      <c r="E16" s="186"/>
      <c r="F16" s="197">
        <v>496766726</v>
      </c>
      <c r="G16" s="186"/>
      <c r="H16" s="198">
        <f>ROUND(F16/$F$18,4)</f>
        <v>0.4168</v>
      </c>
      <c r="I16" s="186"/>
      <c r="J16" s="206">
        <v>0.1031</v>
      </c>
      <c r="K16" s="207" t="s">
        <v>90</v>
      </c>
      <c r="L16" s="186"/>
      <c r="M16" s="198">
        <f>ROUND(H16*J16,4)</f>
        <v>4.2999999999999997E-2</v>
      </c>
      <c r="N16" s="186"/>
      <c r="O16" s="208">
        <f>S42</f>
        <v>1.6432500000000001</v>
      </c>
      <c r="P16" s="186"/>
      <c r="Q16" s="209"/>
      <c r="R16" s="186"/>
      <c r="S16" s="203">
        <f>ROUND(M16*O16,6)</f>
        <v>7.0660000000000001E-2</v>
      </c>
      <c r="T16" s="204"/>
    </row>
    <row r="17" spans="2:21" ht="14.4" x14ac:dyDescent="0.3">
      <c r="B17" s="196"/>
      <c r="C17" s="186"/>
      <c r="D17" s="189"/>
      <c r="E17" s="186"/>
      <c r="F17" s="197"/>
      <c r="G17" s="186"/>
      <c r="H17" s="210"/>
      <c r="I17" s="186"/>
      <c r="J17" s="211"/>
      <c r="K17" s="200"/>
      <c r="L17" s="186"/>
      <c r="M17" s="210"/>
      <c r="N17" s="186"/>
      <c r="O17" s="187"/>
      <c r="P17" s="186"/>
      <c r="Q17" s="189"/>
      <c r="R17" s="186"/>
      <c r="S17" s="212"/>
      <c r="T17" s="213"/>
    </row>
    <row r="18" spans="2:21" ht="14.4" x14ac:dyDescent="0.3">
      <c r="B18" s="196">
        <f>+B16+1</f>
        <v>5</v>
      </c>
      <c r="C18" s="186"/>
      <c r="D18" s="189" t="s">
        <v>91</v>
      </c>
      <c r="E18" s="186"/>
      <c r="F18" s="214">
        <f>SUM(F13:F16)</f>
        <v>1191785493</v>
      </c>
      <c r="G18" s="186"/>
      <c r="H18" s="215">
        <f>SUM(H13:H16)</f>
        <v>1</v>
      </c>
      <c r="I18" s="186"/>
      <c r="J18" s="211"/>
      <c r="K18" s="200"/>
      <c r="L18" s="186"/>
      <c r="M18" s="215" t="s">
        <v>13</v>
      </c>
      <c r="N18" s="186"/>
      <c r="O18" s="189"/>
      <c r="P18" s="186"/>
      <c r="Q18" s="189"/>
      <c r="R18" s="186"/>
      <c r="S18" s="216">
        <f>SUM(S13:S17)</f>
        <v>9.5291000000000001E-2</v>
      </c>
      <c r="T18" s="217"/>
    </row>
    <row r="19" spans="2:21" ht="14.4" x14ac:dyDescent="0.3">
      <c r="B19" s="196"/>
      <c r="C19" s="186"/>
      <c r="D19" s="189"/>
      <c r="E19" s="186"/>
      <c r="F19" s="189"/>
      <c r="G19" s="186"/>
      <c r="H19" s="189"/>
      <c r="I19" s="186"/>
      <c r="J19" s="189"/>
      <c r="K19" s="200"/>
      <c r="L19" s="186"/>
      <c r="M19" s="189"/>
      <c r="N19" s="186"/>
      <c r="O19" s="189"/>
      <c r="P19" s="186"/>
      <c r="Q19" s="189"/>
      <c r="R19" s="186"/>
      <c r="S19" s="218"/>
      <c r="T19" s="168"/>
    </row>
    <row r="20" spans="2:21" ht="15" thickBot="1" x14ac:dyDescent="0.35">
      <c r="B20" s="219"/>
      <c r="C20" s="220"/>
      <c r="D20" s="221"/>
      <c r="E20" s="220"/>
      <c r="F20" s="221"/>
      <c r="G20" s="220"/>
      <c r="H20" s="221"/>
      <c r="I20" s="220"/>
      <c r="J20" s="221"/>
      <c r="K20" s="222"/>
      <c r="L20" s="220"/>
      <c r="M20" s="221"/>
      <c r="N20" s="220"/>
      <c r="O20" s="221"/>
      <c r="P20" s="220"/>
      <c r="Q20" s="221"/>
      <c r="R20" s="220"/>
      <c r="S20" s="223"/>
      <c r="T20" s="168"/>
    </row>
    <row r="21" spans="2:21" hidden="1" x14ac:dyDescent="0.25">
      <c r="B21" s="224"/>
      <c r="C21" s="225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225"/>
      <c r="O21" s="168"/>
      <c r="P21" s="226"/>
      <c r="Q21" s="168"/>
      <c r="R21" s="168"/>
      <c r="S21" s="227"/>
      <c r="T21" s="168"/>
    </row>
    <row r="22" spans="2:21" ht="12" hidden="1" customHeight="1" x14ac:dyDescent="0.25">
      <c r="B22" s="224"/>
      <c r="C22" s="225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225"/>
      <c r="O22" s="168"/>
      <c r="P22" s="226"/>
      <c r="Q22" s="168"/>
      <c r="R22" s="168"/>
      <c r="S22" s="227"/>
      <c r="T22" s="168"/>
    </row>
    <row r="23" spans="2:21" s="230" customFormat="1" ht="12" customHeight="1" x14ac:dyDescent="0.25">
      <c r="B23" s="228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8"/>
      <c r="Q23" s="229"/>
      <c r="R23" s="229"/>
      <c r="S23" s="229"/>
      <c r="T23" s="229"/>
    </row>
    <row r="24" spans="2:21" s="230" customFormat="1" ht="12" customHeight="1" x14ac:dyDescent="0.25">
      <c r="B24" s="228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8"/>
      <c r="Q24" s="229"/>
      <c r="R24" s="229"/>
      <c r="S24" s="229"/>
      <c r="T24" s="229"/>
    </row>
    <row r="25" spans="2:21" s="230" customFormat="1" ht="12" customHeight="1" x14ac:dyDescent="0.25">
      <c r="B25" s="228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31" t="s">
        <v>92</v>
      </c>
      <c r="P25" s="231"/>
      <c r="S25" s="231" t="s">
        <v>93</v>
      </c>
      <c r="T25" s="229"/>
    </row>
    <row r="26" spans="2:21" ht="14.4" x14ac:dyDescent="0.3">
      <c r="B26" s="209">
        <v>6</v>
      </c>
      <c r="C26" s="189"/>
      <c r="D26" s="202" t="s">
        <v>94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32">
        <v>100</v>
      </c>
      <c r="P26" s="189"/>
      <c r="Q26" s="189"/>
      <c r="R26" s="189"/>
      <c r="S26" s="233">
        <f>O26</f>
        <v>100</v>
      </c>
      <c r="T26" s="189"/>
      <c r="U26" s="234"/>
    </row>
    <row r="27" spans="2:21" ht="14.4" x14ac:dyDescent="0.3">
      <c r="B27" s="209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5"/>
      <c r="T27" s="234"/>
      <c r="U27" s="234"/>
    </row>
    <row r="28" spans="2:21" ht="14.4" x14ac:dyDescent="0.3">
      <c r="B28" s="209">
        <v>7</v>
      </c>
      <c r="C28" s="234"/>
      <c r="D28" s="236" t="s">
        <v>95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7">
        <v>0.34</v>
      </c>
      <c r="P28" s="234"/>
      <c r="Q28" s="234"/>
      <c r="R28" s="234"/>
      <c r="S28" s="235">
        <f>O28</f>
        <v>0.34</v>
      </c>
      <c r="T28" s="234"/>
      <c r="U28" s="234"/>
    </row>
    <row r="29" spans="2:21" ht="14.4" x14ac:dyDescent="0.3">
      <c r="B29" s="209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5"/>
      <c r="T29" s="234"/>
      <c r="U29" s="234"/>
    </row>
    <row r="30" spans="2:21" ht="14.4" x14ac:dyDescent="0.3">
      <c r="B30" s="209">
        <v>8</v>
      </c>
      <c r="C30" s="234"/>
      <c r="D30" s="236" t="s">
        <v>96</v>
      </c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>
        <v>0.19409999999999999</v>
      </c>
      <c r="P30" s="234"/>
      <c r="Q30" s="234"/>
      <c r="R30" s="234"/>
      <c r="S30" s="235">
        <f>O30</f>
        <v>0.19409999999999999</v>
      </c>
      <c r="T30" s="234"/>
      <c r="U30" s="234"/>
    </row>
    <row r="31" spans="2:21" ht="14.4" x14ac:dyDescent="0.3">
      <c r="B31" s="209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6" t="s">
        <v>13</v>
      </c>
      <c r="P31" s="234"/>
      <c r="Q31" s="234"/>
      <c r="R31" s="234"/>
      <c r="S31" s="235"/>
      <c r="T31" s="234"/>
      <c r="U31" s="234"/>
    </row>
    <row r="32" spans="2:21" ht="14.4" x14ac:dyDescent="0.3">
      <c r="B32" s="209">
        <v>9</v>
      </c>
      <c r="C32" s="234"/>
      <c r="D32" s="236" t="s">
        <v>97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7">
        <f>O26-O28-O30</f>
        <v>99.465899999999991</v>
      </c>
      <c r="P32" s="234"/>
      <c r="Q32" s="234"/>
      <c r="R32" s="234"/>
      <c r="S32" s="235">
        <f>S26-S28-S30</f>
        <v>99.465899999999991</v>
      </c>
      <c r="T32" s="234"/>
      <c r="U32" s="234"/>
    </row>
    <row r="33" spans="1:24" ht="14.4" x14ac:dyDescent="0.3">
      <c r="B33" s="209"/>
      <c r="C33" s="234"/>
      <c r="D33" s="236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5"/>
      <c r="T33" s="234"/>
      <c r="U33" s="234"/>
      <c r="X33" s="164" t="s">
        <v>13</v>
      </c>
    </row>
    <row r="34" spans="1:24" ht="14.4" x14ac:dyDescent="0.3">
      <c r="B34" s="209">
        <v>10</v>
      </c>
      <c r="C34" s="234"/>
      <c r="D34" s="238" t="s">
        <v>98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9"/>
      <c r="P34" s="234"/>
      <c r="Q34" s="234"/>
      <c r="R34" s="234"/>
      <c r="S34" s="235">
        <f>ROUND(S32*0.058742,6)</f>
        <v>5.8428259999999996</v>
      </c>
      <c r="T34" s="234"/>
      <c r="U34" s="234"/>
    </row>
    <row r="35" spans="1:24" ht="14.4" x14ac:dyDescent="0.3">
      <c r="B35" s="209"/>
      <c r="C35" s="234"/>
      <c r="D35" s="236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40"/>
      <c r="P35" s="234"/>
      <c r="Q35" s="234"/>
      <c r="R35" s="234"/>
      <c r="S35" s="235"/>
      <c r="T35" s="234"/>
      <c r="U35" s="234"/>
    </row>
    <row r="36" spans="1:24" ht="14.4" x14ac:dyDescent="0.3">
      <c r="B36" s="209">
        <v>11</v>
      </c>
      <c r="C36" s="234"/>
      <c r="D36" s="238" t="s">
        <v>99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40"/>
      <c r="P36" s="234"/>
      <c r="Q36" s="234"/>
      <c r="R36" s="234"/>
      <c r="S36" s="235">
        <f>S32-S34</f>
        <v>93.623073999999988</v>
      </c>
      <c r="T36" s="234"/>
      <c r="U36" s="234"/>
    </row>
    <row r="37" spans="1:24" ht="14.4" x14ac:dyDescent="0.3">
      <c r="B37" s="209"/>
      <c r="C37" s="234"/>
      <c r="D37" s="236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5"/>
      <c r="T37" s="234"/>
      <c r="U37" s="234"/>
    </row>
    <row r="38" spans="1:24" ht="14.4" x14ac:dyDescent="0.3">
      <c r="B38" s="209">
        <f>B36+1</f>
        <v>12</v>
      </c>
      <c r="C38" s="234"/>
      <c r="D38" s="238" t="s">
        <v>100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41">
        <f>S36*0.35</f>
        <v>32.768075899999992</v>
      </c>
      <c r="T38" s="234"/>
      <c r="U38" s="234"/>
    </row>
    <row r="39" spans="1:24" ht="14.4" x14ac:dyDescent="0.3">
      <c r="B39" s="209"/>
      <c r="C39" s="234"/>
      <c r="D39" s="238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5"/>
      <c r="T39" s="234"/>
      <c r="U39" s="234"/>
    </row>
    <row r="40" spans="1:24" ht="14.4" x14ac:dyDescent="0.3">
      <c r="B40" s="209">
        <f>B38+1</f>
        <v>13</v>
      </c>
      <c r="C40" s="234"/>
      <c r="D40" s="238" t="s">
        <v>101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5">
        <f>S36-S38</f>
        <v>60.854998099999996</v>
      </c>
      <c r="T40" s="234"/>
      <c r="U40" s="234"/>
    </row>
    <row r="41" spans="1:24" ht="14.4" x14ac:dyDescent="0.3">
      <c r="B41" s="209"/>
      <c r="C41" s="234"/>
      <c r="D41" s="238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42"/>
      <c r="T41" s="234"/>
      <c r="U41" s="234"/>
    </row>
    <row r="42" spans="1:24" ht="14.4" x14ac:dyDescent="0.3">
      <c r="B42" s="209">
        <f>B40+1</f>
        <v>14</v>
      </c>
      <c r="C42" s="234"/>
      <c r="D42" s="238" t="s">
        <v>102</v>
      </c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43">
        <f>ROUND(100/O32,6)</f>
        <v>1.0053700000000001</v>
      </c>
      <c r="P42" s="234"/>
      <c r="Q42" s="234"/>
      <c r="R42" s="234"/>
      <c r="S42" s="244">
        <f>ROUND(100/S40,6)</f>
        <v>1.6432500000000001</v>
      </c>
      <c r="T42" s="234"/>
      <c r="U42" s="234"/>
    </row>
    <row r="43" spans="1:24" ht="14.4" x14ac:dyDescent="0.3">
      <c r="B43" s="209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42"/>
      <c r="T43" s="234"/>
      <c r="U43" s="234"/>
    </row>
    <row r="44" spans="1:24" x14ac:dyDescent="0.25">
      <c r="A44" s="166"/>
      <c r="B44" s="245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46"/>
      <c r="T44" s="238"/>
      <c r="U44" s="238"/>
      <c r="V44" s="166"/>
      <c r="W44" s="166"/>
    </row>
    <row r="45" spans="1:24" x14ac:dyDescent="0.25">
      <c r="A45" s="239" t="s">
        <v>13</v>
      </c>
      <c r="B45" s="245"/>
      <c r="C45" s="238"/>
      <c r="D45" s="166" t="s">
        <v>13</v>
      </c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46"/>
      <c r="T45" s="238"/>
      <c r="U45" s="238"/>
      <c r="V45" s="166"/>
      <c r="W45" s="166"/>
    </row>
    <row r="46" spans="1:24" x14ac:dyDescent="0.25">
      <c r="A46" s="247" t="s">
        <v>13</v>
      </c>
      <c r="B46" s="248"/>
      <c r="C46" s="249" t="s">
        <v>103</v>
      </c>
      <c r="D46" s="249" t="s">
        <v>13</v>
      </c>
      <c r="E46" s="249"/>
      <c r="F46" s="249"/>
      <c r="G46" s="249"/>
      <c r="H46" s="166"/>
      <c r="I46" s="166"/>
      <c r="J46" s="166"/>
      <c r="K46" s="166"/>
      <c r="L46" s="166"/>
      <c r="M46" s="166"/>
      <c r="N46" s="166"/>
      <c r="O46" s="238"/>
      <c r="P46" s="238"/>
      <c r="Q46" s="238"/>
      <c r="R46" s="238"/>
      <c r="S46" s="238"/>
      <c r="T46" s="238"/>
      <c r="U46" s="238"/>
      <c r="V46" s="166"/>
      <c r="W46" s="166"/>
    </row>
    <row r="47" spans="1:24" x14ac:dyDescent="0.25">
      <c r="B47" s="240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</row>
    <row r="48" spans="1:24" x14ac:dyDescent="0.25">
      <c r="B48" s="240"/>
      <c r="C48" s="234"/>
      <c r="D48" s="234"/>
      <c r="E48" s="234"/>
      <c r="F48" s="234"/>
      <c r="G48" s="234"/>
      <c r="H48" s="234"/>
      <c r="I48" s="250"/>
      <c r="J48" s="250" t="s">
        <v>104</v>
      </c>
      <c r="K48" s="250"/>
      <c r="L48" s="250"/>
      <c r="M48" s="250"/>
      <c r="N48" s="250"/>
      <c r="O48" s="251"/>
      <c r="P48" s="252"/>
      <c r="Q48" s="250"/>
      <c r="R48" s="250"/>
      <c r="S48" s="250"/>
      <c r="T48" s="250"/>
      <c r="U48" s="253"/>
    </row>
    <row r="49" spans="2:21" x14ac:dyDescent="0.25">
      <c r="B49" s="240"/>
      <c r="C49" s="234"/>
      <c r="D49" s="234"/>
      <c r="E49" s="234"/>
      <c r="F49" s="234"/>
      <c r="G49" s="234"/>
      <c r="H49" s="234"/>
      <c r="I49" s="250"/>
      <c r="J49" s="250"/>
      <c r="K49" s="250"/>
      <c r="L49" s="250"/>
      <c r="M49" s="250"/>
      <c r="N49" s="250"/>
      <c r="O49" s="250"/>
      <c r="P49" s="252"/>
      <c r="Q49" s="250"/>
      <c r="R49" s="250"/>
      <c r="S49" s="250"/>
      <c r="T49" s="250"/>
      <c r="U49" s="253"/>
    </row>
    <row r="50" spans="2:21" x14ac:dyDescent="0.25">
      <c r="B50" s="240"/>
      <c r="C50" s="234"/>
      <c r="D50" s="234"/>
      <c r="E50" s="234"/>
      <c r="F50" s="234"/>
      <c r="G50" s="234"/>
      <c r="H50" s="234"/>
      <c r="I50" s="250"/>
      <c r="J50" s="250"/>
      <c r="K50" s="250"/>
      <c r="L50" s="250"/>
      <c r="M50" s="250"/>
      <c r="N50" s="250"/>
      <c r="O50" s="250"/>
      <c r="P50" s="252"/>
      <c r="Q50" s="250"/>
      <c r="R50" s="250"/>
      <c r="S50" s="250"/>
      <c r="T50" s="250"/>
      <c r="U50" s="253"/>
    </row>
    <row r="51" spans="2:21" x14ac:dyDescent="0.25">
      <c r="B51" s="240"/>
      <c r="C51" s="234"/>
      <c r="D51" s="234"/>
      <c r="E51" s="234"/>
      <c r="F51" s="234"/>
      <c r="G51" s="234"/>
      <c r="H51" s="234"/>
      <c r="I51" s="250"/>
      <c r="J51" s="250"/>
      <c r="K51" s="250"/>
      <c r="L51" s="250"/>
      <c r="M51" s="250"/>
      <c r="N51" s="250"/>
      <c r="O51" s="250"/>
      <c r="P51" s="252"/>
      <c r="Q51" s="250"/>
      <c r="R51" s="250"/>
      <c r="S51" s="250"/>
      <c r="T51" s="250"/>
      <c r="U51" s="253"/>
    </row>
    <row r="52" spans="2:21" x14ac:dyDescent="0.25">
      <c r="B52" s="240"/>
      <c r="C52" s="234"/>
      <c r="D52" s="234"/>
      <c r="E52" s="234"/>
      <c r="F52" s="234"/>
      <c r="G52" s="234"/>
      <c r="H52" s="234"/>
      <c r="I52" s="250"/>
      <c r="J52" s="250"/>
      <c r="K52" s="250"/>
      <c r="L52" s="250"/>
      <c r="M52" s="250"/>
      <c r="N52" s="250"/>
      <c r="O52" s="250"/>
      <c r="P52" s="252"/>
      <c r="Q52" s="250"/>
      <c r="R52" s="250"/>
      <c r="S52" s="250"/>
      <c r="T52" s="250"/>
      <c r="U52" s="253"/>
    </row>
    <row r="53" spans="2:21" x14ac:dyDescent="0.25">
      <c r="B53" s="240"/>
      <c r="C53" s="234"/>
      <c r="D53" s="234"/>
      <c r="E53" s="234"/>
      <c r="F53" s="234"/>
      <c r="G53" s="234"/>
      <c r="H53" s="234"/>
      <c r="I53" s="250"/>
      <c r="J53" s="250"/>
      <c r="K53" s="250"/>
      <c r="L53" s="250"/>
      <c r="M53" s="250"/>
      <c r="N53" s="250"/>
      <c r="O53" s="250"/>
      <c r="P53" s="252"/>
      <c r="Q53" s="250"/>
      <c r="R53" s="250"/>
      <c r="S53" s="250"/>
      <c r="T53" s="250"/>
      <c r="U53" s="253"/>
    </row>
    <row r="54" spans="2:21" x14ac:dyDescent="0.25">
      <c r="B54" s="240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</row>
    <row r="55" spans="2:21" x14ac:dyDescent="0.25">
      <c r="B55" s="254" t="s">
        <v>13</v>
      </c>
      <c r="C55" s="255"/>
      <c r="D55" s="250"/>
      <c r="E55" s="250"/>
      <c r="F55" s="250"/>
      <c r="G55" s="250"/>
      <c r="H55" s="250"/>
    </row>
    <row r="57" spans="2:21" x14ac:dyDescent="0.25">
      <c r="B57" s="255"/>
      <c r="C57" s="255"/>
      <c r="D57" s="250"/>
      <c r="E57" s="250"/>
      <c r="F57" s="250"/>
      <c r="G57" s="250"/>
      <c r="H57" s="250"/>
    </row>
    <row r="58" spans="2:21" x14ac:dyDescent="0.25">
      <c r="B58" s="240"/>
      <c r="C58" s="234"/>
      <c r="D58" s="234"/>
      <c r="E58" s="234"/>
      <c r="F58" s="234"/>
      <c r="G58" s="234"/>
      <c r="H58" s="234"/>
    </row>
  </sheetData>
  <printOptions horizontalCentered="1" verticalCentered="1"/>
  <pageMargins left="0" right="0" top="0" bottom="0.2" header="0" footer="0"/>
  <pageSetup scale="7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03558-9D8F-402E-843D-D3BC1CBEC3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7222EC-C989-4406-B67C-B2D64CAF1B24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183F87F-2BCD-4C2C-9DC3-0E30A4AF9D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AJE-1S</vt:lpstr>
      <vt:lpstr>Rockport</vt:lpstr>
      <vt:lpstr>Non-FGD</vt:lpstr>
      <vt:lpstr>Base Revenue</vt:lpstr>
      <vt:lpstr>Property Tax</vt:lpstr>
      <vt:lpstr>Allocation Factors</vt:lpstr>
      <vt:lpstr>3.15 </vt:lpstr>
      <vt:lpstr>'AJE-1S'!Print_Area</vt:lpstr>
      <vt:lpstr>'Non-FGD'!Print_Area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lastModifiedBy>AEP</cp:lastModifiedBy>
  <cp:lastPrinted>2017-12-01T19:02:38Z</cp:lastPrinted>
  <dcterms:created xsi:type="dcterms:W3CDTF">2017-01-24T18:44:01Z</dcterms:created>
  <dcterms:modified xsi:type="dcterms:W3CDTF">2017-12-18T14:56:21Z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