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ish\AppData\Local\Temp\Workshare\dqt2bfnu.hrw\1\"/>
    </mc:Choice>
  </mc:AlternateContent>
  <bookViews>
    <workbookView xWindow="-20" yWindow="8420" windowWidth="19230" windowHeight="4170" tabRatio="941" firstSheet="7" activeTab="7"/>
  </bookViews>
  <sheets>
    <sheet name="Settle Exh 1" sheetId="41" state="hidden" r:id="rId1"/>
    <sheet name="Settle Exhibit 1" sheetId="40" state="hidden" r:id="rId2"/>
    <sheet name="RES Typical Bill" sheetId="37" state="hidden" r:id="rId3"/>
    <sheet name="Settle Summary" sheetId="36" state="hidden" r:id="rId4"/>
    <sheet name="Rate Input" sheetId="46" state="hidden" r:id="rId5"/>
    <sheet name="Current Revenue Summary" sheetId="45" state="hidden" r:id="rId6"/>
    <sheet name="Newspaper Table" sheetId="47" state="hidden" r:id="rId7"/>
    <sheet name="SUMMARY" sheetId="7" r:id="rId8"/>
    <sheet name="Reconciliation" sheetId="33" r:id="rId9"/>
    <sheet name="Revenue Comparison" sheetId="35" state="hidden" r:id="rId10"/>
    <sheet name="RS" sheetId="4" r:id="rId11"/>
    <sheet name="RSLMTOD" sheetId="5" r:id="rId12"/>
    <sheet name="RSTOD" sheetId="28" r:id="rId13"/>
    <sheet name="SGS" sheetId="1" r:id="rId14"/>
    <sheet name="SGS-NM" sheetId="6" r:id="rId15"/>
    <sheet name="SGSLMTOD" sheetId="3" r:id="rId16"/>
    <sheet name="MGSLMTOD" sheetId="16" r:id="rId17"/>
    <sheet name="SGSTOD" sheetId="32" r:id="rId18"/>
    <sheet name="MGS-SEC" sheetId="25" r:id="rId19"/>
    <sheet name="MGS AF" sheetId="18" r:id="rId20"/>
    <sheet name="MGSTOD" sheetId="15" r:id="rId21"/>
    <sheet name="MGS-PRI" sheetId="14" r:id="rId22"/>
    <sheet name="MGS-SUB" sheetId="13" r:id="rId23"/>
    <sheet name="School Sec" sheetId="38" r:id="rId24"/>
    <sheet name="School Pri" sheetId="39" r:id="rId25"/>
    <sheet name="LGS-SEC" sheetId="12" r:id="rId26"/>
    <sheet name="LGSLMTOD" sheetId="11" r:id="rId27"/>
    <sheet name="LGSSECTOD" sheetId="44" r:id="rId28"/>
    <sheet name="LGS-PRI" sheetId="10" r:id="rId29"/>
    <sheet name="LGS-SUB" sheetId="9" r:id="rId30"/>
    <sheet name="LGS-TRAN" sheetId="31" r:id="rId31"/>
    <sheet name="IGS-SEC" sheetId="42" r:id="rId32"/>
    <sheet name="IGS-PRI" sheetId="43" r:id="rId33"/>
    <sheet name="IGS-SUB" sheetId="22" r:id="rId34"/>
    <sheet name="IGS-TRAN" sheetId="21" r:id="rId35"/>
    <sheet name="MW" sheetId="19" r:id="rId36"/>
    <sheet name="OL" sheetId="2" r:id="rId37"/>
    <sheet name="SL" sheetId="20" r:id="rId38"/>
  </sheets>
  <definedNames>
    <definedName name="_xlnm.Print_Area" localSheetId="13">SGS!$A$1:$H$40</definedName>
    <definedName name="_xlnm.Print_Area" localSheetId="7">SUMMARY!$A$1:$P$79</definedName>
  </definedNames>
  <calcPr calcId="162913" iterate="1"/>
</workbook>
</file>

<file path=xl/calcChain.xml><?xml version="1.0" encoding="utf-8"?>
<calcChain xmlns="http://schemas.openxmlformats.org/spreadsheetml/2006/main">
  <c r="G14" i="46" l="1"/>
  <c r="F12" i="39" l="1"/>
  <c r="F33" i="19" l="1"/>
  <c r="F40" i="21"/>
  <c r="F42" i="22"/>
  <c r="F40" i="43"/>
  <c r="F40" i="42"/>
  <c r="F36" i="31"/>
  <c r="F36" i="9"/>
  <c r="F36" i="39"/>
  <c r="F36" i="10"/>
  <c r="F38" i="44"/>
  <c r="F32" i="11"/>
  <c r="F36" i="38"/>
  <c r="F36" i="12"/>
  <c r="F45" i="13"/>
  <c r="F45" i="14"/>
  <c r="F32" i="15"/>
  <c r="F33" i="18"/>
  <c r="F44" i="25"/>
  <c r="F33" i="32"/>
  <c r="F33" i="16"/>
  <c r="F35" i="6"/>
  <c r="F33" i="3" s="1"/>
  <c r="G38" i="47" l="1"/>
  <c r="G39" i="47" s="1"/>
  <c r="I37" i="47"/>
  <c r="I38" i="47" s="1"/>
  <c r="I36" i="47"/>
  <c r="D38" i="22" l="1"/>
  <c r="G19" i="47" l="1"/>
  <c r="G18" i="47"/>
  <c r="J21" i="47"/>
  <c r="K21" i="47" s="1"/>
  <c r="J20" i="47"/>
  <c r="K20" i="47" s="1"/>
  <c r="F36" i="1" l="1"/>
  <c r="F20" i="5"/>
  <c r="F12" i="12"/>
  <c r="F31" i="20"/>
  <c r="F30" i="20"/>
  <c r="F29" i="20"/>
  <c r="F28" i="20"/>
  <c r="F24" i="20"/>
  <c r="F23" i="20"/>
  <c r="F22" i="20"/>
  <c r="F21" i="20"/>
  <c r="F17" i="20"/>
  <c r="F16" i="20"/>
  <c r="F15" i="20"/>
  <c r="F14" i="20"/>
  <c r="F56" i="2"/>
  <c r="F55" i="2"/>
  <c r="F54" i="2"/>
  <c r="F49" i="2"/>
  <c r="F48" i="2"/>
  <c r="F45" i="2"/>
  <c r="F44" i="2"/>
  <c r="F43" i="2"/>
  <c r="F40" i="2"/>
  <c r="F39" i="2"/>
  <c r="F35" i="2"/>
  <c r="F34" i="2"/>
  <c r="F33" i="2"/>
  <c r="F30" i="2"/>
  <c r="F27" i="2"/>
  <c r="F26" i="2"/>
  <c r="F22" i="2"/>
  <c r="F21" i="2"/>
  <c r="F18" i="2"/>
  <c r="F17" i="2"/>
  <c r="F16" i="2"/>
  <c r="F15" i="2"/>
  <c r="F14" i="2"/>
  <c r="F19" i="19"/>
  <c r="F17" i="19"/>
  <c r="F12" i="19"/>
  <c r="F24" i="21"/>
  <c r="F22" i="21"/>
  <c r="F18" i="21"/>
  <c r="F19" i="21"/>
  <c r="F17" i="21"/>
  <c r="F12" i="21"/>
  <c r="F26" i="22"/>
  <c r="F24" i="22"/>
  <c r="F18" i="22"/>
  <c r="F19" i="22"/>
  <c r="F17" i="22"/>
  <c r="F12" i="22"/>
  <c r="F24" i="43"/>
  <c r="F22" i="43"/>
  <c r="F18" i="43"/>
  <c r="F19" i="43"/>
  <c r="F17" i="43"/>
  <c r="F12" i="43"/>
  <c r="F24" i="42"/>
  <c r="F22" i="42"/>
  <c r="F18" i="42"/>
  <c r="F19" i="42"/>
  <c r="F17" i="42"/>
  <c r="F12" i="42"/>
  <c r="F20" i="38"/>
  <c r="F18" i="38"/>
  <c r="F16" i="38"/>
  <c r="F12" i="38"/>
  <c r="F20" i="31"/>
  <c r="F18" i="31"/>
  <c r="F16" i="31"/>
  <c r="F12" i="31"/>
  <c r="F20" i="9"/>
  <c r="F18" i="9"/>
  <c r="F16" i="9"/>
  <c r="F12" i="9"/>
  <c r="F20" i="10"/>
  <c r="F18" i="10"/>
  <c r="F16" i="10"/>
  <c r="F12" i="10"/>
  <c r="F22" i="44"/>
  <c r="F20" i="44"/>
  <c r="F18" i="44"/>
  <c r="F14" i="44"/>
  <c r="F13" i="44"/>
  <c r="F18" i="11"/>
  <c r="F14" i="11"/>
  <c r="F13" i="11"/>
  <c r="F20" i="12"/>
  <c r="F18" i="12"/>
  <c r="F16" i="12"/>
  <c r="F29" i="13"/>
  <c r="F26" i="13"/>
  <c r="F19" i="13"/>
  <c r="F18" i="13"/>
  <c r="F29" i="14"/>
  <c r="F27" i="14"/>
  <c r="F20" i="14"/>
  <c r="F19" i="14"/>
  <c r="F14" i="15"/>
  <c r="F13" i="15"/>
  <c r="F18" i="15" l="1"/>
  <c r="F12" i="18"/>
  <c r="F16" i="18"/>
  <c r="F26" i="25"/>
  <c r="F19" i="32"/>
  <c r="F14" i="32"/>
  <c r="F15" i="32"/>
  <c r="F13" i="32"/>
  <c r="F14" i="3"/>
  <c r="F13" i="3"/>
  <c r="F18" i="3"/>
  <c r="F20" i="6"/>
  <c r="F20" i="1"/>
  <c r="F16" i="1"/>
  <c r="F15" i="1"/>
  <c r="F21" i="5"/>
  <c r="F14" i="5"/>
  <c r="F13" i="5"/>
  <c r="F42" i="4"/>
  <c r="F19" i="4"/>
  <c r="F15" i="4"/>
  <c r="F13" i="4"/>
  <c r="C46" i="33" l="1"/>
  <c r="B65" i="7"/>
  <c r="C17" i="47" s="1"/>
  <c r="B63" i="7"/>
  <c r="C19" i="47" s="1"/>
  <c r="B61" i="7"/>
  <c r="B59" i="7"/>
  <c r="B57" i="7"/>
  <c r="B55" i="7"/>
  <c r="B53" i="7"/>
  <c r="B51" i="7"/>
  <c r="B49" i="7"/>
  <c r="B47" i="7"/>
  <c r="B45" i="7"/>
  <c r="B43" i="7"/>
  <c r="B41" i="7"/>
  <c r="B39" i="7"/>
  <c r="C15" i="47" s="1"/>
  <c r="B37" i="7"/>
  <c r="B35" i="7"/>
  <c r="B33" i="7"/>
  <c r="C10" i="47" s="1"/>
  <c r="B31" i="7"/>
  <c r="B29" i="7"/>
  <c r="B27" i="7"/>
  <c r="B25" i="7"/>
  <c r="B23" i="7"/>
  <c r="C9" i="47" s="1"/>
  <c r="B21" i="7"/>
  <c r="B19" i="7"/>
  <c r="B17" i="7"/>
  <c r="C18" i="47" s="1"/>
  <c r="B15" i="7"/>
  <c r="B13" i="7"/>
  <c r="B11" i="7"/>
  <c r="B67" i="7" l="1"/>
  <c r="C8" i="47"/>
  <c r="C11" i="47"/>
  <c r="C12" i="47"/>
  <c r="C14" i="47"/>
  <c r="C13" i="47" l="1"/>
  <c r="C25" i="47"/>
  <c r="D36" i="31"/>
  <c r="H53" i="7" s="1"/>
  <c r="E46" i="33" l="1"/>
  <c r="F13" i="16" l="1"/>
  <c r="F14" i="16"/>
  <c r="F41" i="6" l="1"/>
  <c r="F40" i="3"/>
  <c r="F39" i="32"/>
  <c r="F46" i="21"/>
  <c r="F48" i="22"/>
  <c r="F46" i="43"/>
  <c r="F46" i="42"/>
  <c r="F22" i="22"/>
  <c r="E22" i="22"/>
  <c r="F20" i="39"/>
  <c r="F18" i="39"/>
  <c r="F16" i="39"/>
  <c r="F28" i="25"/>
  <c r="F18" i="25"/>
  <c r="F17" i="25"/>
  <c r="F16" i="6"/>
  <c r="F15" i="6"/>
  <c r="F18" i="16"/>
  <c r="F14" i="28"/>
  <c r="F13" i="28"/>
  <c r="G22" i="22" l="1"/>
  <c r="G20" i="44"/>
  <c r="G18" i="44"/>
  <c r="E16" i="25"/>
  <c r="F38" i="10" l="1"/>
  <c r="E19" i="4" l="1"/>
  <c r="F47" i="20" l="1"/>
  <c r="F70" i="2"/>
  <c r="F35" i="19"/>
  <c r="F42" i="21"/>
  <c r="F44" i="22"/>
  <c r="F42" i="43"/>
  <c r="F42" i="42"/>
  <c r="F38" i="31"/>
  <c r="F38" i="9"/>
  <c r="F40" i="44"/>
  <c r="F34" i="11"/>
  <c r="F38" i="12"/>
  <c r="F38" i="39"/>
  <c r="F38" i="38"/>
  <c r="F47" i="13"/>
  <c r="F47" i="14"/>
  <c r="F34" i="15"/>
  <c r="F35" i="16"/>
  <c r="F46" i="25"/>
  <c r="F35" i="18"/>
  <c r="F37" i="6"/>
  <c r="F35" i="32"/>
  <c r="F35" i="3"/>
  <c r="F41" i="28"/>
  <c r="F44" i="5"/>
  <c r="G26" i="13" l="1"/>
  <c r="G19" i="13"/>
  <c r="G18" i="13"/>
  <c r="G20" i="14"/>
  <c r="G19" i="14"/>
  <c r="G27" i="14"/>
  <c r="G18" i="25"/>
  <c r="G17" i="25"/>
  <c r="G26" i="25"/>
  <c r="G16" i="6"/>
  <c r="G40" i="43"/>
  <c r="G15" i="6"/>
  <c r="G35" i="6" l="1"/>
  <c r="G33" i="3"/>
  <c r="G16" i="1" l="1"/>
  <c r="G15" i="1"/>
  <c r="D32" i="22" l="1"/>
  <c r="D22" i="22"/>
  <c r="D36" i="22"/>
  <c r="D34" i="22"/>
  <c r="B28" i="22"/>
  <c r="B26" i="22"/>
  <c r="B19" i="22"/>
  <c r="B18" i="22"/>
  <c r="B17" i="22"/>
  <c r="B14" i="22"/>
  <c r="B12" i="22"/>
  <c r="G57" i="7" l="1"/>
  <c r="G25" i="7"/>
  <c r="G21" i="7"/>
  <c r="D38" i="9" l="1"/>
  <c r="D38" i="31"/>
  <c r="P57" i="7" l="1"/>
  <c r="P55" i="7"/>
  <c r="P45" i="7"/>
  <c r="D20" i="44" l="1"/>
  <c r="D18" i="44"/>
  <c r="B20" i="28" l="1"/>
  <c r="B40" i="5"/>
  <c r="B38" i="4"/>
  <c r="D42" i="5" l="1"/>
  <c r="D40" i="5"/>
  <c r="D38" i="4"/>
  <c r="D40" i="4"/>
  <c r="H11" i="7" s="1"/>
  <c r="D36" i="39"/>
  <c r="H41" i="7" s="1"/>
  <c r="E17" i="39"/>
  <c r="D36" i="38"/>
  <c r="H39" i="7" s="1"/>
  <c r="D45" i="13"/>
  <c r="H37" i="7" s="1"/>
  <c r="D36" i="12"/>
  <c r="H43" i="7" s="1"/>
  <c r="D33" i="19"/>
  <c r="H65" i="7" s="1"/>
  <c r="D40" i="21"/>
  <c r="H61" i="7" s="1"/>
  <c r="D40" i="43"/>
  <c r="H57" i="7" s="1"/>
  <c r="K57" i="7" s="1"/>
  <c r="D36" i="9"/>
  <c r="H51" i="7" s="1"/>
  <c r="D36" i="10"/>
  <c r="H49" i="7" s="1"/>
  <c r="D38" i="44"/>
  <c r="H45" i="7" s="1"/>
  <c r="D32" i="11"/>
  <c r="H47" i="7" s="1"/>
  <c r="D45" i="14"/>
  <c r="H35" i="7" s="1"/>
  <c r="D32" i="15"/>
  <c r="H33" i="7" s="1"/>
  <c r="D33" i="16"/>
  <c r="H31" i="7" s="1"/>
  <c r="D44" i="25"/>
  <c r="H29" i="7" s="1"/>
  <c r="D35" i="6"/>
  <c r="H25" i="7" s="1"/>
  <c r="K25" i="7" s="1"/>
  <c r="D33" i="32"/>
  <c r="H23" i="7" s="1"/>
  <c r="D33" i="3"/>
  <c r="H21" i="7" s="1"/>
  <c r="K21" i="7" s="1"/>
  <c r="D34" i="1"/>
  <c r="H19" i="7" s="1"/>
  <c r="D40" i="42"/>
  <c r="H55" i="7" s="1"/>
  <c r="H13" i="7" l="1"/>
  <c r="A38" i="22"/>
  <c r="A34" i="44"/>
  <c r="B16" i="16"/>
  <c r="A32" i="25"/>
  <c r="E17" i="10"/>
  <c r="A28" i="15"/>
  <c r="A28" i="16"/>
  <c r="A29" i="32"/>
  <c r="A27" i="32"/>
  <c r="A28" i="3"/>
  <c r="A26" i="3"/>
  <c r="A30" i="1" l="1"/>
  <c r="B18" i="1"/>
  <c r="D13" i="1"/>
  <c r="F44" i="44" l="1"/>
  <c r="C34" i="44"/>
  <c r="C26" i="44"/>
  <c r="A26" i="44"/>
  <c r="E24" i="44"/>
  <c r="E22" i="44"/>
  <c r="D22" i="44"/>
  <c r="B16" i="44"/>
  <c r="E16" i="44" s="1"/>
  <c r="E14" i="44"/>
  <c r="G14" i="44" s="1"/>
  <c r="D14" i="44"/>
  <c r="E13" i="44"/>
  <c r="G13" i="44" s="1"/>
  <c r="D13" i="44"/>
  <c r="G10" i="44"/>
  <c r="F10" i="44"/>
  <c r="E10" i="44"/>
  <c r="D10" i="44"/>
  <c r="C10" i="44"/>
  <c r="B10" i="44"/>
  <c r="G9" i="44"/>
  <c r="F9" i="44"/>
  <c r="E9" i="44"/>
  <c r="D9" i="44"/>
  <c r="C9" i="44"/>
  <c r="B9" i="44"/>
  <c r="E8" i="44"/>
  <c r="B8" i="44"/>
  <c r="A3" i="44"/>
  <c r="A2" i="44"/>
  <c r="A1" i="44"/>
  <c r="G22" i="44" l="1"/>
  <c r="E38" i="44"/>
  <c r="G38" i="44" s="1"/>
  <c r="G45" i="7" s="1"/>
  <c r="K45" i="7" s="1"/>
  <c r="G44" i="44"/>
  <c r="D26" i="44"/>
  <c r="B31" i="35" s="1"/>
  <c r="D31" i="35" s="1"/>
  <c r="C28" i="43"/>
  <c r="F28" i="43" s="1"/>
  <c r="A28" i="43"/>
  <c r="E26" i="43"/>
  <c r="E24" i="43"/>
  <c r="D24" i="43"/>
  <c r="E22" i="43"/>
  <c r="D22" i="43"/>
  <c r="E20" i="43"/>
  <c r="E19" i="43"/>
  <c r="G19" i="43" s="1"/>
  <c r="D19" i="43"/>
  <c r="E18" i="43"/>
  <c r="D18" i="43"/>
  <c r="E17" i="43"/>
  <c r="D17" i="43"/>
  <c r="E12" i="43"/>
  <c r="G12" i="43" s="1"/>
  <c r="D12" i="43"/>
  <c r="G10" i="43"/>
  <c r="F10" i="43"/>
  <c r="E10" i="43"/>
  <c r="D10" i="43"/>
  <c r="C10" i="43"/>
  <c r="B10" i="43"/>
  <c r="G9" i="43"/>
  <c r="F9" i="43"/>
  <c r="E9" i="43"/>
  <c r="D9" i="43"/>
  <c r="C9" i="43"/>
  <c r="B9" i="43"/>
  <c r="E8" i="43"/>
  <c r="B8" i="43"/>
  <c r="A3" i="43"/>
  <c r="A2" i="43"/>
  <c r="A1" i="43"/>
  <c r="D36" i="44" l="1"/>
  <c r="C45" i="7" s="1"/>
  <c r="D28" i="43"/>
  <c r="G18" i="43"/>
  <c r="G22" i="43"/>
  <c r="E14" i="43"/>
  <c r="G17" i="43"/>
  <c r="G24" i="43"/>
  <c r="C28" i="42"/>
  <c r="F28" i="42" s="1"/>
  <c r="A28" i="42"/>
  <c r="E26" i="42"/>
  <c r="E24" i="42"/>
  <c r="E40" i="42" s="1"/>
  <c r="G40" i="42" s="1"/>
  <c r="G55" i="7" s="1"/>
  <c r="K55" i="7" s="1"/>
  <c r="D24" i="42"/>
  <c r="E22" i="42"/>
  <c r="D22" i="42"/>
  <c r="E20" i="42"/>
  <c r="E19" i="42"/>
  <c r="G19" i="42" s="1"/>
  <c r="D19" i="42"/>
  <c r="E18" i="42"/>
  <c r="G18" i="42" s="1"/>
  <c r="D18" i="42"/>
  <c r="E17" i="42"/>
  <c r="D17" i="42"/>
  <c r="B14" i="42"/>
  <c r="E12" i="42"/>
  <c r="G12" i="42" s="1"/>
  <c r="D12" i="42"/>
  <c r="G10" i="42"/>
  <c r="F10" i="42"/>
  <c r="E10" i="42"/>
  <c r="D10" i="42"/>
  <c r="C10" i="42"/>
  <c r="B10" i="42"/>
  <c r="G9" i="42"/>
  <c r="F9" i="42"/>
  <c r="E9" i="42"/>
  <c r="D9" i="42"/>
  <c r="C9" i="42"/>
  <c r="B9" i="42"/>
  <c r="E8" i="42"/>
  <c r="B8" i="42"/>
  <c r="A3" i="42"/>
  <c r="A2" i="42"/>
  <c r="A1" i="42"/>
  <c r="C32" i="31"/>
  <c r="C30" i="31"/>
  <c r="C28" i="31"/>
  <c r="C32" i="9"/>
  <c r="C30" i="9"/>
  <c r="C28" i="9"/>
  <c r="C32" i="10"/>
  <c r="C30" i="10"/>
  <c r="C28" i="10"/>
  <c r="C28" i="11"/>
  <c r="C32" i="39"/>
  <c r="C30" i="39"/>
  <c r="C28" i="39"/>
  <c r="D42" i="44" l="1"/>
  <c r="D38" i="43"/>
  <c r="D28" i="42"/>
  <c r="D38" i="42" s="1"/>
  <c r="D44" i="42" s="1"/>
  <c r="G22" i="42"/>
  <c r="G46" i="43"/>
  <c r="G38" i="43"/>
  <c r="B37" i="33" s="1"/>
  <c r="E14" i="42"/>
  <c r="G17" i="42"/>
  <c r="G24" i="42"/>
  <c r="C41" i="13"/>
  <c r="C39" i="13"/>
  <c r="C37" i="13"/>
  <c r="C41" i="14"/>
  <c r="C39" i="14"/>
  <c r="C37" i="14"/>
  <c r="C28" i="15"/>
  <c r="C26" i="15"/>
  <c r="C31" i="28"/>
  <c r="C29" i="28"/>
  <c r="C39" i="28"/>
  <c r="C37" i="28"/>
  <c r="G38" i="42" l="1"/>
  <c r="C57" i="7"/>
  <c r="D44" i="43"/>
  <c r="C55" i="7"/>
  <c r="G46" i="42"/>
  <c r="G28" i="42"/>
  <c r="E13" i="4"/>
  <c r="AH5" i="37" l="1"/>
  <c r="AH11" i="37" s="1"/>
  <c r="AG5" i="37"/>
  <c r="AG10" i="37" s="1"/>
  <c r="AF5" i="37"/>
  <c r="AF6" i="37" s="1"/>
  <c r="Y5" i="37"/>
  <c r="Y8" i="37" s="1"/>
  <c r="X5" i="37"/>
  <c r="X6" i="37" s="1"/>
  <c r="N5" i="37"/>
  <c r="N10" i="37" s="1"/>
  <c r="M5" i="37"/>
  <c r="M10" i="37" s="1"/>
  <c r="AE11" i="37"/>
  <c r="AB11" i="37"/>
  <c r="S11" i="37"/>
  <c r="R11" i="37"/>
  <c r="Q11" i="37"/>
  <c r="P11" i="37"/>
  <c r="AE10" i="37"/>
  <c r="AB10" i="37"/>
  <c r="S10" i="37"/>
  <c r="R10" i="37"/>
  <c r="Q10" i="37"/>
  <c r="P10" i="37"/>
  <c r="U10" i="37" s="1"/>
  <c r="AE9" i="37"/>
  <c r="AB9" i="37"/>
  <c r="S9" i="37"/>
  <c r="R9" i="37"/>
  <c r="Q9" i="37"/>
  <c r="P9" i="37"/>
  <c r="AE8" i="37"/>
  <c r="AB8" i="37"/>
  <c r="S8" i="37"/>
  <c r="R8" i="37"/>
  <c r="Q8" i="37"/>
  <c r="P8" i="37"/>
  <c r="N8" i="37"/>
  <c r="AE7" i="37"/>
  <c r="AB7" i="37"/>
  <c r="S7" i="37"/>
  <c r="R7" i="37"/>
  <c r="Q7" i="37"/>
  <c r="P7" i="37"/>
  <c r="U7" i="37" s="1"/>
  <c r="AE6" i="37"/>
  <c r="AB6" i="37"/>
  <c r="T6" i="37"/>
  <c r="T7" i="37" s="1"/>
  <c r="T8" i="37" s="1"/>
  <c r="S6" i="37"/>
  <c r="R6" i="37"/>
  <c r="Q6" i="37"/>
  <c r="P6" i="37"/>
  <c r="U6" i="37" s="1"/>
  <c r="AC5" i="37"/>
  <c r="AC8" i="37" s="1"/>
  <c r="U5" i="37"/>
  <c r="U11" i="37" l="1"/>
  <c r="U8" i="37"/>
  <c r="U9" i="37"/>
  <c r="X8" i="37"/>
  <c r="Z8" i="37" s="1"/>
  <c r="D57" i="7"/>
  <c r="F57" i="7" s="1"/>
  <c r="I57" i="7" s="1"/>
  <c r="AH9" i="37"/>
  <c r="AC6" i="37"/>
  <c r="AC7" i="37"/>
  <c r="AC11" i="37"/>
  <c r="AC10" i="37"/>
  <c r="AC9" i="37"/>
  <c r="N6" i="37"/>
  <c r="N9" i="37" s="1"/>
  <c r="AG6" i="37"/>
  <c r="AG8" i="37"/>
  <c r="AG7" i="37"/>
  <c r="X10" i="37"/>
  <c r="X11" i="37"/>
  <c r="AH6" i="37"/>
  <c r="AF11" i="37"/>
  <c r="AH8" i="37"/>
  <c r="AH7" i="37"/>
  <c r="AH10" i="37"/>
  <c r="N7" i="37"/>
  <c r="N11" i="37"/>
  <c r="O10" i="37"/>
  <c r="M6" i="37"/>
  <c r="M11" i="37"/>
  <c r="O5" i="37"/>
  <c r="V5" i="37" s="1"/>
  <c r="M7" i="37"/>
  <c r="M8" i="37"/>
  <c r="O8" i="37" s="1"/>
  <c r="V8" i="37" s="1"/>
  <c r="T9" i="37"/>
  <c r="T10" i="37"/>
  <c r="Y7" i="37"/>
  <c r="AF10" i="37"/>
  <c r="Y11" i="37"/>
  <c r="AG11" i="37"/>
  <c r="Z5" i="37"/>
  <c r="Y6" i="37"/>
  <c r="Y9" i="37" s="1"/>
  <c r="X9" i="37"/>
  <c r="AF9" i="37"/>
  <c r="Y10" i="37"/>
  <c r="AF8" i="37"/>
  <c r="AG9" i="37"/>
  <c r="X7" i="37"/>
  <c r="AF7" i="37"/>
  <c r="E42" i="43" l="1"/>
  <c r="G42" i="43" s="1"/>
  <c r="L57" i="7" s="1"/>
  <c r="M57" i="7" s="1"/>
  <c r="N57" i="7" s="1"/>
  <c r="Z10" i="37"/>
  <c r="Z7" i="37"/>
  <c r="Z11" i="37"/>
  <c r="B36" i="33"/>
  <c r="O7" i="37"/>
  <c r="V7" i="37" s="1"/>
  <c r="O11" i="37"/>
  <c r="M9" i="37"/>
  <c r="O9" i="37" s="1"/>
  <c r="V9" i="37" s="1"/>
  <c r="O6" i="37"/>
  <c r="V6" i="37" s="1"/>
  <c r="V10" i="37"/>
  <c r="T11" i="37"/>
  <c r="V11" i="37" s="1"/>
  <c r="Z9" i="37"/>
  <c r="Z6" i="37"/>
  <c r="E42" i="42" l="1"/>
  <c r="G42" i="42" s="1"/>
  <c r="L55" i="7" s="1"/>
  <c r="G44" i="43"/>
  <c r="D55" i="7"/>
  <c r="F55" i="7" l="1"/>
  <c r="I55" i="7" s="1"/>
  <c r="M55" i="7"/>
  <c r="N55" i="7" s="1"/>
  <c r="G44" i="42"/>
  <c r="P41" i="7"/>
  <c r="P39" i="7"/>
  <c r="B14" i="41" l="1"/>
  <c r="B14" i="40"/>
  <c r="B14" i="36"/>
  <c r="F42" i="39" l="1"/>
  <c r="J27" i="35"/>
  <c r="C24" i="39"/>
  <c r="A24" i="39"/>
  <c r="E22" i="39"/>
  <c r="E20" i="39"/>
  <c r="E36" i="39" s="1"/>
  <c r="G36" i="39" s="1"/>
  <c r="G41" i="7" s="1"/>
  <c r="K41" i="7" s="1"/>
  <c r="D20" i="39"/>
  <c r="E18" i="39"/>
  <c r="D18" i="39"/>
  <c r="E16" i="39"/>
  <c r="D16" i="39"/>
  <c r="B14" i="39"/>
  <c r="E14" i="39" s="1"/>
  <c r="E13" i="39"/>
  <c r="E12" i="39"/>
  <c r="G12" i="39" s="1"/>
  <c r="D12" i="39"/>
  <c r="G10" i="39"/>
  <c r="F10" i="39"/>
  <c r="E10" i="39"/>
  <c r="D10" i="39"/>
  <c r="C10" i="39"/>
  <c r="B10" i="39"/>
  <c r="G9" i="39"/>
  <c r="F9" i="39"/>
  <c r="E9" i="39"/>
  <c r="D9" i="39"/>
  <c r="C9" i="39"/>
  <c r="B9" i="39"/>
  <c r="E8" i="39"/>
  <c r="B8" i="39"/>
  <c r="A3" i="39"/>
  <c r="A2" i="39"/>
  <c r="A1" i="39"/>
  <c r="F42" i="38"/>
  <c r="A30" i="38"/>
  <c r="A28" i="38"/>
  <c r="C24" i="38"/>
  <c r="A24" i="38"/>
  <c r="E22" i="38"/>
  <c r="E20" i="38"/>
  <c r="E36" i="38" s="1"/>
  <c r="G36" i="38" s="1"/>
  <c r="G39" i="7" s="1"/>
  <c r="K39" i="7" s="1"/>
  <c r="G15" i="47" s="1"/>
  <c r="D20" i="38"/>
  <c r="E18" i="38"/>
  <c r="D18" i="38"/>
  <c r="E16" i="38"/>
  <c r="D16" i="38"/>
  <c r="B14" i="38"/>
  <c r="E13" i="38"/>
  <c r="E12" i="38"/>
  <c r="G12" i="38" s="1"/>
  <c r="D12" i="38"/>
  <c r="G10" i="38"/>
  <c r="F10" i="38"/>
  <c r="E10" i="38"/>
  <c r="D10" i="38"/>
  <c r="C10" i="38"/>
  <c r="B10" i="38"/>
  <c r="G9" i="38"/>
  <c r="F9" i="38"/>
  <c r="E9" i="38"/>
  <c r="D9" i="38"/>
  <c r="C9" i="38"/>
  <c r="B9" i="38"/>
  <c r="E8" i="38"/>
  <c r="B8" i="38"/>
  <c r="A3" i="38"/>
  <c r="A2" i="38"/>
  <c r="A1" i="38"/>
  <c r="D24" i="38" l="1"/>
  <c r="B26" i="35" s="1"/>
  <c r="G20" i="39"/>
  <c r="D24" i="39"/>
  <c r="B27" i="35" s="1"/>
  <c r="G18" i="39"/>
  <c r="G16" i="39"/>
  <c r="J26" i="35"/>
  <c r="J28" i="35" s="1"/>
  <c r="G42" i="39"/>
  <c r="G16" i="38"/>
  <c r="E14" i="38"/>
  <c r="B28" i="35" l="1"/>
  <c r="L27" i="35"/>
  <c r="G42" i="38"/>
  <c r="L26" i="35"/>
  <c r="L28" i="35" l="1"/>
  <c r="E5" i="37"/>
  <c r="E6" i="37" l="1"/>
  <c r="E7" i="37"/>
  <c r="E8" i="37" l="1"/>
  <c r="E9" i="37"/>
  <c r="E11" i="37" l="1"/>
  <c r="E10" i="37"/>
  <c r="P65" i="7"/>
  <c r="P63" i="7"/>
  <c r="P61" i="7"/>
  <c r="P59" i="7"/>
  <c r="P53" i="7"/>
  <c r="P51" i="7"/>
  <c r="P49" i="7"/>
  <c r="P47" i="7"/>
  <c r="P43" i="7"/>
  <c r="P37" i="7"/>
  <c r="P35" i="7"/>
  <c r="P33" i="7"/>
  <c r="P31" i="7"/>
  <c r="P29" i="7"/>
  <c r="P27" i="7"/>
  <c r="P25" i="7"/>
  <c r="P23" i="7"/>
  <c r="P21" i="7"/>
  <c r="P19" i="7"/>
  <c r="P15" i="7"/>
  <c r="P11" i="7"/>
  <c r="P67" i="7" l="1"/>
  <c r="B30" i="36"/>
  <c r="B22" i="36"/>
  <c r="B22" i="41"/>
  <c r="B22" i="40"/>
  <c r="B24" i="36"/>
  <c r="B24" i="41"/>
  <c r="B24" i="40"/>
  <c r="B16" i="41"/>
  <c r="B16" i="40"/>
  <c r="B16" i="36"/>
  <c r="B12" i="36"/>
  <c r="B12" i="41"/>
  <c r="B12" i="40"/>
  <c r="B10" i="36"/>
  <c r="B10" i="41"/>
  <c r="B10" i="40"/>
  <c r="B18" i="41"/>
  <c r="B18" i="40"/>
  <c r="B29" i="36"/>
  <c r="B8" i="36"/>
  <c r="B8" i="41"/>
  <c r="B8" i="40"/>
  <c r="B18" i="36"/>
  <c r="B26" i="40" l="1"/>
  <c r="B26" i="41"/>
  <c r="B26" i="36"/>
  <c r="F51" i="20"/>
  <c r="F74" i="2"/>
  <c r="F39" i="19"/>
  <c r="F42" i="31"/>
  <c r="F42" i="9"/>
  <c r="F42" i="10"/>
  <c r="F38" i="11"/>
  <c r="F42" i="12"/>
  <c r="F51" i="13"/>
  <c r="G51" i="13" s="1"/>
  <c r="F51" i="14"/>
  <c r="F38" i="15"/>
  <c r="F39" i="16"/>
  <c r="F50" i="25"/>
  <c r="F39" i="18"/>
  <c r="F25" i="4" l="1"/>
  <c r="AA5" i="37"/>
  <c r="AA10" i="37" l="1"/>
  <c r="AA8" i="37"/>
  <c r="AA9" i="37"/>
  <c r="AA11" i="37"/>
  <c r="AA7" i="37"/>
  <c r="AA6" i="37"/>
  <c r="F26" i="44"/>
  <c r="G26" i="44" s="1"/>
  <c r="F31" i="35" s="1"/>
  <c r="AD5" i="37"/>
  <c r="F24" i="39"/>
  <c r="G24" i="39" s="1"/>
  <c r="F24" i="38"/>
  <c r="G24" i="38" s="1"/>
  <c r="F24" i="6"/>
  <c r="F24" i="1"/>
  <c r="F20" i="18"/>
  <c r="F22" i="3"/>
  <c r="F22" i="16"/>
  <c r="F23" i="32"/>
  <c r="F22" i="15"/>
  <c r="A41" i="20"/>
  <c r="A27" i="19"/>
  <c r="A30" i="12"/>
  <c r="A30" i="31" s="1"/>
  <c r="A28" i="12"/>
  <c r="A28" i="31" s="1"/>
  <c r="A26" i="11"/>
  <c r="A39" i="13"/>
  <c r="A37" i="13"/>
  <c r="A39" i="14"/>
  <c r="A37" i="14"/>
  <c r="A26" i="15"/>
  <c r="A26" i="16"/>
  <c r="A32" i="38"/>
  <c r="A26" i="18"/>
  <c r="A24" i="18"/>
  <c r="A28" i="6"/>
  <c r="A28" i="1"/>
  <c r="L10" i="35"/>
  <c r="G60" i="2"/>
  <c r="A64" i="2"/>
  <c r="A62" i="2"/>
  <c r="A31" i="28"/>
  <c r="A29" i="28"/>
  <c r="A34" i="5"/>
  <c r="A32" i="5"/>
  <c r="H31" i="35" l="1"/>
  <c r="G31" i="35"/>
  <c r="A28" i="9"/>
  <c r="A28" i="10"/>
  <c r="A32" i="12"/>
  <c r="A30" i="10"/>
  <c r="A30" i="9"/>
  <c r="A41" i="13"/>
  <c r="A32" i="44"/>
  <c r="A30" i="39"/>
  <c r="A30" i="44"/>
  <c r="A28" i="39"/>
  <c r="Q26" i="35"/>
  <c r="Q27" i="35"/>
  <c r="F27" i="35"/>
  <c r="AD9" i="37"/>
  <c r="AI9" i="37" s="1"/>
  <c r="AD7" i="37"/>
  <c r="AI7" i="37" s="1"/>
  <c r="AD11" i="37"/>
  <c r="AI11" i="37" s="1"/>
  <c r="AD8" i="37"/>
  <c r="AI8" i="37" s="1"/>
  <c r="AI5" i="37"/>
  <c r="AD6" i="37"/>
  <c r="AI6" i="37" s="1"/>
  <c r="AD10" i="37"/>
  <c r="AI10" i="37" s="1"/>
  <c r="A41" i="14"/>
  <c r="L39" i="35"/>
  <c r="L41" i="35"/>
  <c r="L40" i="35"/>
  <c r="L38" i="35"/>
  <c r="E35" i="20"/>
  <c r="A2" i="35"/>
  <c r="A1" i="35"/>
  <c r="A33" i="18"/>
  <c r="A34" i="1"/>
  <c r="F39" i="28"/>
  <c r="A39" i="28"/>
  <c r="F42" i="5"/>
  <c r="A42" i="5"/>
  <c r="A32" i="31" l="1"/>
  <c r="A32" i="9"/>
  <c r="AJ6" i="37"/>
  <c r="G6" i="37" s="1"/>
  <c r="I6" i="37" s="1"/>
  <c r="K6" i="37" s="1"/>
  <c r="AJ8" i="37"/>
  <c r="G8" i="37" s="1"/>
  <c r="I8" i="37" s="1"/>
  <c r="K8" i="37" s="1"/>
  <c r="AJ10" i="37"/>
  <c r="G10" i="37" s="1"/>
  <c r="I10" i="37" s="1"/>
  <c r="K10" i="37" s="1"/>
  <c r="AJ11" i="37"/>
  <c r="G11" i="37" s="1"/>
  <c r="I11" i="37" s="1"/>
  <c r="K11" i="37" s="1"/>
  <c r="M27" i="35"/>
  <c r="AJ7" i="37"/>
  <c r="G7" i="37" s="1"/>
  <c r="I7" i="37" s="1"/>
  <c r="K7" i="37" s="1"/>
  <c r="P27" i="35"/>
  <c r="R27" i="35" s="1"/>
  <c r="H27" i="35"/>
  <c r="G27" i="35"/>
  <c r="M26" i="35"/>
  <c r="AJ5" i="37"/>
  <c r="G5" i="37" s="1"/>
  <c r="I5" i="37" s="1"/>
  <c r="K5" i="37" s="1"/>
  <c r="AJ9" i="37"/>
  <c r="G9" i="37" s="1"/>
  <c r="I9" i="37" s="1"/>
  <c r="K9" i="37" s="1"/>
  <c r="Q28" i="35"/>
  <c r="L42" i="35"/>
  <c r="J48" i="35"/>
  <c r="C48" i="35"/>
  <c r="C10" i="35"/>
  <c r="C50" i="35"/>
  <c r="C45" i="35"/>
  <c r="C44" i="35"/>
  <c r="C41" i="35"/>
  <c r="C40" i="35"/>
  <c r="C39" i="35"/>
  <c r="C38" i="35"/>
  <c r="C35" i="35"/>
  <c r="C34" i="35"/>
  <c r="C32" i="35"/>
  <c r="C23" i="35"/>
  <c r="C22" i="35"/>
  <c r="C21" i="35"/>
  <c r="C20" i="35"/>
  <c r="C19" i="35"/>
  <c r="C18" i="35"/>
  <c r="C14" i="35"/>
  <c r="C15" i="35"/>
  <c r="C13" i="35"/>
  <c r="C12" i="35"/>
  <c r="C7" i="35"/>
  <c r="C6" i="35"/>
  <c r="C5" i="35"/>
  <c r="M28" i="35" l="1"/>
  <c r="K27" i="35"/>
  <c r="G34" i="39"/>
  <c r="B27" i="33" s="1"/>
  <c r="K26" i="35"/>
  <c r="G36" i="44"/>
  <c r="B30" i="33" s="1"/>
  <c r="C8" i="35"/>
  <c r="C42" i="35"/>
  <c r="C46" i="35"/>
  <c r="C16" i="35"/>
  <c r="C24" i="35"/>
  <c r="A22" i="18"/>
  <c r="D45" i="7" l="1"/>
  <c r="F45" i="7" s="1"/>
  <c r="I45" i="7" s="1"/>
  <c r="E40" i="44"/>
  <c r="G40" i="44" s="1"/>
  <c r="L45" i="7" s="1"/>
  <c r="D41" i="7"/>
  <c r="E38" i="39"/>
  <c r="G38" i="39" s="1"/>
  <c r="L41" i="7" s="1"/>
  <c r="N27" i="35"/>
  <c r="K28" i="35"/>
  <c r="A60" i="2"/>
  <c r="A29" i="5"/>
  <c r="M45" i="7" l="1"/>
  <c r="N45" i="7" s="1"/>
  <c r="G42" i="44"/>
  <c r="G40" i="39"/>
  <c r="E34" i="2"/>
  <c r="G34" i="2" s="1"/>
  <c r="E35" i="2"/>
  <c r="G35" i="2" s="1"/>
  <c r="E33" i="2"/>
  <c r="G33" i="2" s="1"/>
  <c r="D17" i="2"/>
  <c r="C18" i="28"/>
  <c r="E49" i="2"/>
  <c r="G49" i="2" s="1"/>
  <c r="D49" i="2"/>
  <c r="E48" i="2"/>
  <c r="G48" i="2"/>
  <c r="D48" i="2"/>
  <c r="D35" i="2"/>
  <c r="D34" i="2"/>
  <c r="D33" i="2"/>
  <c r="E17" i="2"/>
  <c r="G17" i="2" s="1"/>
  <c r="A23" i="32"/>
  <c r="G10" i="32"/>
  <c r="F10" i="32"/>
  <c r="E10" i="32"/>
  <c r="D10" i="32"/>
  <c r="C10" i="32"/>
  <c r="B10" i="32"/>
  <c r="G9" i="32"/>
  <c r="F9" i="32"/>
  <c r="E9" i="32"/>
  <c r="D9" i="32"/>
  <c r="C9" i="32"/>
  <c r="B9" i="32"/>
  <c r="E8" i="32"/>
  <c r="B8" i="32"/>
  <c r="A3" i="32"/>
  <c r="A2" i="32"/>
  <c r="A1" i="32"/>
  <c r="A24" i="31"/>
  <c r="G10" i="31"/>
  <c r="F10" i="31"/>
  <c r="E10" i="31"/>
  <c r="D10" i="31"/>
  <c r="C10" i="31"/>
  <c r="B10" i="31"/>
  <c r="G9" i="31"/>
  <c r="F9" i="31"/>
  <c r="E9" i="31"/>
  <c r="D9" i="31"/>
  <c r="C9" i="31"/>
  <c r="B9" i="31"/>
  <c r="E8" i="31"/>
  <c r="B8" i="31"/>
  <c r="A3" i="31"/>
  <c r="A2" i="31"/>
  <c r="A1" i="31"/>
  <c r="C14" i="15"/>
  <c r="C13" i="15"/>
  <c r="C14" i="5"/>
  <c r="E33" i="20"/>
  <c r="E14" i="20"/>
  <c r="G14" i="20" s="1"/>
  <c r="E15" i="20"/>
  <c r="G15" i="20" s="1"/>
  <c r="E16" i="20"/>
  <c r="G16" i="20" s="1"/>
  <c r="E17" i="20"/>
  <c r="G17" i="20" s="1"/>
  <c r="E21" i="20"/>
  <c r="G21" i="20" s="1"/>
  <c r="E22" i="20"/>
  <c r="G22" i="20" s="1"/>
  <c r="E23" i="20"/>
  <c r="G23" i="20" s="1"/>
  <c r="E24" i="20"/>
  <c r="G24" i="20" s="1"/>
  <c r="E28" i="20"/>
  <c r="G28" i="20" s="1"/>
  <c r="E29" i="20"/>
  <c r="G29" i="20" s="1"/>
  <c r="E30" i="20"/>
  <c r="G30" i="20" s="1"/>
  <c r="E31" i="20"/>
  <c r="G31" i="20" s="1"/>
  <c r="E51" i="2"/>
  <c r="G74" i="2" s="1"/>
  <c r="E14" i="2"/>
  <c r="G14" i="2" s="1"/>
  <c r="E15" i="2"/>
  <c r="G15" i="2" s="1"/>
  <c r="E16" i="2"/>
  <c r="G16" i="2" s="1"/>
  <c r="E18" i="2"/>
  <c r="G18" i="2" s="1"/>
  <c r="E21" i="2"/>
  <c r="G21" i="2" s="1"/>
  <c r="E22" i="2"/>
  <c r="G22" i="2" s="1"/>
  <c r="E26" i="2"/>
  <c r="G26" i="2" s="1"/>
  <c r="E27" i="2"/>
  <c r="G27" i="2" s="1"/>
  <c r="E30" i="2"/>
  <c r="G30" i="2"/>
  <c r="E39" i="2"/>
  <c r="G39" i="2" s="1"/>
  <c r="E40" i="2"/>
  <c r="G40" i="2" s="1"/>
  <c r="E43" i="2"/>
  <c r="G43" i="2" s="1"/>
  <c r="E44" i="2"/>
  <c r="G44" i="2" s="1"/>
  <c r="E45" i="2"/>
  <c r="G45" i="2" s="1"/>
  <c r="E54" i="2"/>
  <c r="G54" i="2" s="1"/>
  <c r="E55" i="2"/>
  <c r="G55" i="2" s="1"/>
  <c r="E56" i="2"/>
  <c r="G56" i="2" s="1"/>
  <c r="F18" i="28"/>
  <c r="E18" i="5"/>
  <c r="G18" i="5" s="1"/>
  <c r="D18" i="5"/>
  <c r="C13" i="28"/>
  <c r="D14" i="2"/>
  <c r="D15" i="2"/>
  <c r="D16" i="2"/>
  <c r="D18" i="2"/>
  <c r="D21" i="2"/>
  <c r="D22" i="2"/>
  <c r="D26" i="2"/>
  <c r="D27" i="2"/>
  <c r="D30" i="2"/>
  <c r="D39" i="2"/>
  <c r="D40" i="2"/>
  <c r="D43" i="2"/>
  <c r="D44" i="2"/>
  <c r="D45" i="2"/>
  <c r="D54" i="2"/>
  <c r="D55" i="2"/>
  <c r="D56" i="2"/>
  <c r="C13" i="6"/>
  <c r="C14" i="6"/>
  <c r="D14" i="20"/>
  <c r="D15" i="20"/>
  <c r="D16" i="20"/>
  <c r="D17" i="20"/>
  <c r="D21" i="20"/>
  <c r="D22" i="20"/>
  <c r="D23" i="20"/>
  <c r="D24" i="20"/>
  <c r="D28" i="20"/>
  <c r="D29" i="20"/>
  <c r="D30" i="20"/>
  <c r="D31" i="20"/>
  <c r="A24" i="9"/>
  <c r="A1" i="28"/>
  <c r="A2" i="28"/>
  <c r="A3" i="28"/>
  <c r="B8" i="28"/>
  <c r="E8" i="28"/>
  <c r="B9" i="28"/>
  <c r="C9" i="28"/>
  <c r="D9" i="28"/>
  <c r="E9" i="28"/>
  <c r="F9" i="28"/>
  <c r="G9" i="28"/>
  <c r="B10" i="28"/>
  <c r="C10" i="28"/>
  <c r="D10" i="28"/>
  <c r="E10" i="28"/>
  <c r="F10" i="28"/>
  <c r="G10" i="28"/>
  <c r="A24" i="28"/>
  <c r="A33" i="28"/>
  <c r="A30" i="22"/>
  <c r="G10" i="22"/>
  <c r="F10" i="22"/>
  <c r="E10" i="22"/>
  <c r="D10" i="22"/>
  <c r="C10" i="22"/>
  <c r="B10" i="22"/>
  <c r="G9" i="22"/>
  <c r="F9" i="22"/>
  <c r="E9" i="22"/>
  <c r="D9" i="22"/>
  <c r="C9" i="22"/>
  <c r="B9" i="22"/>
  <c r="E8" i="22"/>
  <c r="B8" i="22"/>
  <c r="A3" i="22"/>
  <c r="A2" i="22"/>
  <c r="A1" i="22"/>
  <c r="A28" i="21"/>
  <c r="G10" i="21"/>
  <c r="F10" i="21"/>
  <c r="E10" i="21"/>
  <c r="D10" i="21"/>
  <c r="C10" i="21"/>
  <c r="B10" i="21"/>
  <c r="G9" i="21"/>
  <c r="F9" i="21"/>
  <c r="E9" i="21"/>
  <c r="D9" i="21"/>
  <c r="C9" i="21"/>
  <c r="B9" i="21"/>
  <c r="E8" i="21"/>
  <c r="B8" i="21"/>
  <c r="A3" i="21"/>
  <c r="A2" i="21"/>
  <c r="A1" i="21"/>
  <c r="A22" i="11"/>
  <c r="G10" i="11"/>
  <c r="F10" i="11"/>
  <c r="E10" i="11"/>
  <c r="D10" i="11"/>
  <c r="C10" i="11"/>
  <c r="B10" i="11"/>
  <c r="G9" i="11"/>
  <c r="F9" i="11"/>
  <c r="E9" i="11"/>
  <c r="D9" i="11"/>
  <c r="C9" i="11"/>
  <c r="B9" i="11"/>
  <c r="E8" i="11"/>
  <c r="B8" i="11"/>
  <c r="A3" i="11"/>
  <c r="A2" i="11"/>
  <c r="A1" i="11"/>
  <c r="A24" i="10"/>
  <c r="G10" i="10"/>
  <c r="F10" i="10"/>
  <c r="E10" i="10"/>
  <c r="D10" i="10"/>
  <c r="C10" i="10"/>
  <c r="B10" i="10"/>
  <c r="G9" i="10"/>
  <c r="F9" i="10"/>
  <c r="E9" i="10"/>
  <c r="D9" i="10"/>
  <c r="C9" i="10"/>
  <c r="B9" i="10"/>
  <c r="E8" i="10"/>
  <c r="B8" i="10"/>
  <c r="A3" i="10"/>
  <c r="A2" i="10"/>
  <c r="A1" i="10"/>
  <c r="A24" i="12"/>
  <c r="G10" i="12"/>
  <c r="F10" i="12"/>
  <c r="E10" i="12"/>
  <c r="D10" i="12"/>
  <c r="C10" i="12"/>
  <c r="B10" i="12"/>
  <c r="G9" i="12"/>
  <c r="F9" i="12"/>
  <c r="E9" i="12"/>
  <c r="D9" i="12"/>
  <c r="C9" i="12"/>
  <c r="B9" i="12"/>
  <c r="E8" i="12"/>
  <c r="B8" i="12"/>
  <c r="A3" i="12"/>
  <c r="A2" i="12"/>
  <c r="A1" i="12"/>
  <c r="G10" i="9"/>
  <c r="F10" i="9"/>
  <c r="E10" i="9"/>
  <c r="D10" i="9"/>
  <c r="C10" i="9"/>
  <c r="B10" i="9"/>
  <c r="G9" i="9"/>
  <c r="F9" i="9"/>
  <c r="E9" i="9"/>
  <c r="D9" i="9"/>
  <c r="C9" i="9"/>
  <c r="B9" i="9"/>
  <c r="E8" i="9"/>
  <c r="B8" i="9"/>
  <c r="A3" i="9"/>
  <c r="A2" i="9"/>
  <c r="A1" i="9"/>
  <c r="G10" i="25"/>
  <c r="F10" i="25"/>
  <c r="E10" i="25"/>
  <c r="D10" i="25"/>
  <c r="C10" i="25"/>
  <c r="B10" i="25"/>
  <c r="G9" i="25"/>
  <c r="F9" i="25"/>
  <c r="E9" i="25"/>
  <c r="D9" i="25"/>
  <c r="C9" i="25"/>
  <c r="B9" i="25"/>
  <c r="E8" i="25"/>
  <c r="B8" i="25"/>
  <c r="A3" i="25"/>
  <c r="A2" i="25"/>
  <c r="A1" i="25"/>
  <c r="A22" i="16"/>
  <c r="G10" i="16"/>
  <c r="F10" i="16"/>
  <c r="E10" i="16"/>
  <c r="D10" i="16"/>
  <c r="C10" i="16"/>
  <c r="B10" i="16"/>
  <c r="G9" i="16"/>
  <c r="F9" i="16"/>
  <c r="E9" i="16"/>
  <c r="D9" i="16"/>
  <c r="C9" i="16"/>
  <c r="B9" i="16"/>
  <c r="E8" i="16"/>
  <c r="B8" i="16"/>
  <c r="A3" i="16"/>
  <c r="A2" i="16"/>
  <c r="A1" i="16"/>
  <c r="A33" i="14"/>
  <c r="G10" i="14"/>
  <c r="F10" i="14"/>
  <c r="E10" i="14"/>
  <c r="D10" i="14"/>
  <c r="C10" i="14"/>
  <c r="B10" i="14"/>
  <c r="G9" i="14"/>
  <c r="F9" i="14"/>
  <c r="E9" i="14"/>
  <c r="D9" i="14"/>
  <c r="C9" i="14"/>
  <c r="B9" i="14"/>
  <c r="E8" i="14"/>
  <c r="B8" i="14"/>
  <c r="A3" i="14"/>
  <c r="A2" i="14"/>
  <c r="A1" i="14"/>
  <c r="A28" i="18"/>
  <c r="A20" i="18"/>
  <c r="G10" i="18"/>
  <c r="F10" i="18"/>
  <c r="E10" i="18"/>
  <c r="D10" i="18"/>
  <c r="C10" i="18"/>
  <c r="B10" i="18"/>
  <c r="G9" i="18"/>
  <c r="F9" i="18"/>
  <c r="E9" i="18"/>
  <c r="D9" i="18"/>
  <c r="C9" i="18"/>
  <c r="B9" i="18"/>
  <c r="E8" i="18"/>
  <c r="B8" i="18"/>
  <c r="A3" i="18"/>
  <c r="A2" i="18"/>
  <c r="A1" i="18"/>
  <c r="A33" i="13"/>
  <c r="G10" i="13"/>
  <c r="F10" i="13"/>
  <c r="E10" i="13"/>
  <c r="D10" i="13"/>
  <c r="C10" i="13"/>
  <c r="B10" i="13"/>
  <c r="G9" i="13"/>
  <c r="F9" i="13"/>
  <c r="E9" i="13"/>
  <c r="D9" i="13"/>
  <c r="C9" i="13"/>
  <c r="B9" i="13"/>
  <c r="E8" i="13"/>
  <c r="B8" i="13"/>
  <c r="A3" i="13"/>
  <c r="A2" i="13"/>
  <c r="A1" i="13"/>
  <c r="A22" i="15"/>
  <c r="G10" i="15"/>
  <c r="F10" i="15"/>
  <c r="E10" i="15"/>
  <c r="D10" i="15"/>
  <c r="C10" i="15"/>
  <c r="B10" i="15"/>
  <c r="G9" i="15"/>
  <c r="F9" i="15"/>
  <c r="E9" i="15"/>
  <c r="D9" i="15"/>
  <c r="C9" i="15"/>
  <c r="B9" i="15"/>
  <c r="E8" i="15"/>
  <c r="B8" i="15"/>
  <c r="A3" i="15"/>
  <c r="A2" i="15"/>
  <c r="A1" i="15"/>
  <c r="A23" i="19"/>
  <c r="G10" i="19"/>
  <c r="F10" i="19"/>
  <c r="E10" i="19"/>
  <c r="D10" i="19"/>
  <c r="C10" i="19"/>
  <c r="B10" i="19"/>
  <c r="G9" i="19"/>
  <c r="F9" i="19"/>
  <c r="E9" i="19"/>
  <c r="D9" i="19"/>
  <c r="C9" i="19"/>
  <c r="B9" i="19"/>
  <c r="E8" i="19"/>
  <c r="B8" i="19"/>
  <c r="A3" i="19"/>
  <c r="A2" i="19"/>
  <c r="A1" i="19"/>
  <c r="A66" i="2"/>
  <c r="A58" i="2"/>
  <c r="G10" i="2"/>
  <c r="F10" i="2"/>
  <c r="E10" i="2"/>
  <c r="D10" i="2"/>
  <c r="C10" i="2"/>
  <c r="B10" i="2"/>
  <c r="G9" i="2"/>
  <c r="F9" i="2"/>
  <c r="E9" i="2"/>
  <c r="D9" i="2"/>
  <c r="C9" i="2"/>
  <c r="B9" i="2"/>
  <c r="E8" i="2"/>
  <c r="B8" i="2"/>
  <c r="A3" i="2"/>
  <c r="A2" i="2"/>
  <c r="A1" i="2"/>
  <c r="A36" i="5"/>
  <c r="A27" i="5"/>
  <c r="G10" i="5"/>
  <c r="F10" i="5"/>
  <c r="E10" i="5"/>
  <c r="D10" i="5"/>
  <c r="C10" i="5"/>
  <c r="B10" i="5"/>
  <c r="G9" i="5"/>
  <c r="F9" i="5"/>
  <c r="E9" i="5"/>
  <c r="D9" i="5"/>
  <c r="C9" i="5"/>
  <c r="B9" i="5"/>
  <c r="E8" i="5"/>
  <c r="B8" i="5"/>
  <c r="A3" i="5"/>
  <c r="A2" i="5"/>
  <c r="A1" i="5"/>
  <c r="A24" i="1"/>
  <c r="A3" i="1"/>
  <c r="A2" i="1"/>
  <c r="A1" i="1"/>
  <c r="G10" i="1"/>
  <c r="F10" i="1"/>
  <c r="E10" i="1"/>
  <c r="D10" i="1"/>
  <c r="C10" i="1"/>
  <c r="G9" i="1"/>
  <c r="F9" i="1"/>
  <c r="E9" i="1"/>
  <c r="D9" i="1"/>
  <c r="C9" i="1"/>
  <c r="E8" i="1"/>
  <c r="B10" i="1"/>
  <c r="B9" i="1"/>
  <c r="B8" i="1"/>
  <c r="A24" i="6"/>
  <c r="G10" i="6"/>
  <c r="F10" i="6"/>
  <c r="E10" i="6"/>
  <c r="D10" i="6"/>
  <c r="C10" i="6"/>
  <c r="B10" i="6"/>
  <c r="G9" i="6"/>
  <c r="F9" i="6"/>
  <c r="E9" i="6"/>
  <c r="D9" i="6"/>
  <c r="C9" i="6"/>
  <c r="B9" i="6"/>
  <c r="E8" i="6"/>
  <c r="B8" i="6"/>
  <c r="A3" i="6"/>
  <c r="A2" i="6"/>
  <c r="A1" i="6"/>
  <c r="A22" i="3"/>
  <c r="G10" i="3"/>
  <c r="F10" i="3"/>
  <c r="E10" i="3"/>
  <c r="D10" i="3"/>
  <c r="C10" i="3"/>
  <c r="B10" i="3"/>
  <c r="G9" i="3"/>
  <c r="F9" i="3"/>
  <c r="E9" i="3"/>
  <c r="D9" i="3"/>
  <c r="C9" i="3"/>
  <c r="B9" i="3"/>
  <c r="E8" i="3"/>
  <c r="B8" i="3"/>
  <c r="A3" i="3"/>
  <c r="A2" i="3"/>
  <c r="A1" i="3"/>
  <c r="A37" i="20"/>
  <c r="G10" i="20"/>
  <c r="F10" i="20"/>
  <c r="E10" i="20"/>
  <c r="D10" i="20"/>
  <c r="C10" i="20"/>
  <c r="B10" i="20"/>
  <c r="G9" i="20"/>
  <c r="F9" i="20"/>
  <c r="E9" i="20"/>
  <c r="D9" i="20"/>
  <c r="C9" i="20"/>
  <c r="B9" i="20"/>
  <c r="E8" i="20"/>
  <c r="B8" i="20"/>
  <c r="A3" i="20"/>
  <c r="A2" i="20"/>
  <c r="A1" i="20"/>
  <c r="A3" i="7"/>
  <c r="A2" i="7"/>
  <c r="G51" i="20" l="1"/>
  <c r="L48" i="35"/>
  <c r="C14" i="28"/>
  <c r="E26" i="21" l="1"/>
  <c r="E20" i="28" l="1"/>
  <c r="E22" i="1"/>
  <c r="E20" i="16"/>
  <c r="E20" i="11"/>
  <c r="E22" i="9"/>
  <c r="E28" i="22"/>
  <c r="E21" i="32" l="1"/>
  <c r="E22" i="31"/>
  <c r="E20" i="15"/>
  <c r="E20" i="3"/>
  <c r="E31" i="14"/>
  <c r="E21" i="19"/>
  <c r="E22" i="12"/>
  <c r="E30" i="25"/>
  <c r="E18" i="18"/>
  <c r="E22" i="10"/>
  <c r="E23" i="5"/>
  <c r="E22" i="6" l="1"/>
  <c r="E21" i="4"/>
  <c r="C24" i="31" l="1"/>
  <c r="C24" i="28"/>
  <c r="C24" i="6"/>
  <c r="C32" i="25"/>
  <c r="C23" i="19"/>
  <c r="C20" i="18"/>
  <c r="C23" i="32"/>
  <c r="C24" i="1"/>
  <c r="C22" i="3"/>
  <c r="C24" i="12"/>
  <c r="C37" i="20"/>
  <c r="D37" i="20" s="1"/>
  <c r="C22" i="11"/>
  <c r="C22" i="16"/>
  <c r="C24" i="9"/>
  <c r="C30" i="22"/>
  <c r="F30" i="22" s="1"/>
  <c r="C27" i="5"/>
  <c r="C24" i="10"/>
  <c r="C22" i="15"/>
  <c r="C33" i="13"/>
  <c r="D33" i="13" s="1"/>
  <c r="C58" i="2"/>
  <c r="D58" i="2" s="1"/>
  <c r="C33" i="14"/>
  <c r="C28" i="21"/>
  <c r="F28" i="21" s="1"/>
  <c r="D68" i="2" l="1"/>
  <c r="B10" i="35"/>
  <c r="B48" i="35"/>
  <c r="D45" i="20"/>
  <c r="D49" i="20" s="1"/>
  <c r="F24" i="31"/>
  <c r="F32" i="25"/>
  <c r="G32" i="25" s="1"/>
  <c r="F23" i="19"/>
  <c r="F24" i="28"/>
  <c r="F58" i="2"/>
  <c r="G58" i="2" s="1"/>
  <c r="F33" i="13"/>
  <c r="G33" i="13" s="1"/>
  <c r="F24" i="12"/>
  <c r="F37" i="20"/>
  <c r="G37" i="20" s="1"/>
  <c r="G45" i="20" s="1"/>
  <c r="F24" i="10"/>
  <c r="F27" i="5"/>
  <c r="F22" i="11"/>
  <c r="F24" i="9"/>
  <c r="F33" i="14"/>
  <c r="C17" i="7" l="1"/>
  <c r="C20" i="40" s="1"/>
  <c r="D72" i="2"/>
  <c r="C63" i="7"/>
  <c r="Q48" i="35"/>
  <c r="F48" i="35"/>
  <c r="Q10" i="35"/>
  <c r="F10" i="35"/>
  <c r="D10" i="35"/>
  <c r="D48" i="35"/>
  <c r="C20" i="41" l="1"/>
  <c r="C20" i="36"/>
  <c r="C22" i="40"/>
  <c r="C22" i="41"/>
  <c r="C22" i="36"/>
  <c r="E10" i="35"/>
  <c r="D20" i="40"/>
  <c r="E48" i="35"/>
  <c r="D22" i="40"/>
  <c r="P48" i="35"/>
  <c r="R48" i="35" s="1"/>
  <c r="B42" i="33"/>
  <c r="D42" i="33" s="1"/>
  <c r="G10" i="35"/>
  <c r="P10" i="35"/>
  <c r="R10" i="35" s="1"/>
  <c r="G48" i="35"/>
  <c r="H48" i="35"/>
  <c r="H10" i="35"/>
  <c r="E31" i="13"/>
  <c r="D22" i="41" l="1"/>
  <c r="E22" i="40"/>
  <c r="F22" i="40" s="1"/>
  <c r="D20" i="41"/>
  <c r="E20" i="40"/>
  <c r="F20" i="40" s="1"/>
  <c r="E21" i="5" l="1"/>
  <c r="G21" i="5" s="1"/>
  <c r="D21" i="5"/>
  <c r="E17" i="4" l="1"/>
  <c r="D25" i="4"/>
  <c r="G25" i="4" l="1"/>
  <c r="D26" i="22"/>
  <c r="E26" i="22"/>
  <c r="E42" i="22" s="1"/>
  <c r="D42" i="22" l="1"/>
  <c r="H59" i="7" s="1"/>
  <c r="G42" i="22"/>
  <c r="G59" i="7" s="1"/>
  <c r="K59" i="7" s="1"/>
  <c r="L5" i="35"/>
  <c r="J44" i="35"/>
  <c r="G26" i="22"/>
  <c r="E20" i="21" l="1"/>
  <c r="E13" i="19"/>
  <c r="E20" i="22"/>
  <c r="D14" i="25" l="1"/>
  <c r="D18" i="11"/>
  <c r="E18" i="11"/>
  <c r="E32" i="11" s="1"/>
  <c r="G32" i="11" s="1"/>
  <c r="G47" i="7" s="1"/>
  <c r="K47" i="7" s="1"/>
  <c r="E18" i="3"/>
  <c r="D18" i="3"/>
  <c r="D18" i="15"/>
  <c r="E18" i="15"/>
  <c r="E32" i="15" s="1"/>
  <c r="G32" i="15" s="1"/>
  <c r="G33" i="7" s="1"/>
  <c r="K33" i="7" s="1"/>
  <c r="G10" i="47" s="1"/>
  <c r="D18" i="16"/>
  <c r="E18" i="16"/>
  <c r="E33" i="16" s="1"/>
  <c r="G33" i="16" s="1"/>
  <c r="G31" i="7" s="1"/>
  <c r="K31" i="7" s="1"/>
  <c r="E20" i="10"/>
  <c r="E36" i="10" s="1"/>
  <c r="G36" i="10" s="1"/>
  <c r="G49" i="7" s="1"/>
  <c r="K49" i="7" s="1"/>
  <c r="D20" i="10"/>
  <c r="E29" i="13"/>
  <c r="E45" i="13" s="1"/>
  <c r="G45" i="13" s="1"/>
  <c r="G37" i="7" s="1"/>
  <c r="K37" i="7" s="1"/>
  <c r="D29" i="13"/>
  <c r="D20" i="1"/>
  <c r="E20" i="1"/>
  <c r="G20" i="1" s="1"/>
  <c r="E20" i="9"/>
  <c r="E36" i="9" s="1"/>
  <c r="G36" i="9" s="1"/>
  <c r="G51" i="7" s="1"/>
  <c r="K51" i="7" s="1"/>
  <c r="D20" i="9"/>
  <c r="B37" i="28"/>
  <c r="D39" i="28" s="1"/>
  <c r="E18" i="28"/>
  <c r="D18" i="28"/>
  <c r="D29" i="14"/>
  <c r="E29" i="14"/>
  <c r="E45" i="14" s="1"/>
  <c r="G45" i="14" s="1"/>
  <c r="G35" i="7" s="1"/>
  <c r="K35" i="7" s="1"/>
  <c r="E20" i="6"/>
  <c r="D20" i="6"/>
  <c r="D20" i="31"/>
  <c r="E20" i="31"/>
  <c r="E36" i="31" s="1"/>
  <c r="G36" i="31" s="1"/>
  <c r="G53" i="7" s="1"/>
  <c r="K53" i="7" s="1"/>
  <c r="E19" i="32"/>
  <c r="E33" i="32" s="1"/>
  <c r="G33" i="32" s="1"/>
  <c r="G23" i="7" s="1"/>
  <c r="K23" i="7" s="1"/>
  <c r="G9" i="47" s="1"/>
  <c r="D19" i="32"/>
  <c r="E20" i="12"/>
  <c r="E36" i="12" s="1"/>
  <c r="G36" i="12" s="1"/>
  <c r="G43" i="7" s="1"/>
  <c r="K43" i="7" s="1"/>
  <c r="D20" i="12"/>
  <c r="D22" i="25"/>
  <c r="D13" i="25"/>
  <c r="B16" i="25"/>
  <c r="D32" i="25" s="1"/>
  <c r="B14" i="18"/>
  <c r="D12" i="18"/>
  <c r="E12" i="18"/>
  <c r="G12" i="18" s="1"/>
  <c r="E16" i="18"/>
  <c r="E33" i="18" s="1"/>
  <c r="D33" i="18" s="1"/>
  <c r="H27" i="7" s="1"/>
  <c r="D16" i="18"/>
  <c r="E19" i="19"/>
  <c r="E33" i="19" s="1"/>
  <c r="G33" i="19" s="1"/>
  <c r="G65" i="7" s="1"/>
  <c r="K65" i="7" s="1"/>
  <c r="G17" i="47" s="1"/>
  <c r="D19" i="19"/>
  <c r="E24" i="21"/>
  <c r="E40" i="21" s="1"/>
  <c r="G40" i="21" s="1"/>
  <c r="G61" i="7" s="1"/>
  <c r="K61" i="7" s="1"/>
  <c r="G16" i="47" s="1"/>
  <c r="D24" i="21"/>
  <c r="G14" i="47" l="1"/>
  <c r="D37" i="28"/>
  <c r="H15" i="7" s="1"/>
  <c r="H67" i="7" s="1"/>
  <c r="E37" i="28"/>
  <c r="G37" i="28" s="1"/>
  <c r="B16" i="15"/>
  <c r="E13" i="15"/>
  <c r="G13" i="15" s="1"/>
  <c r="D13" i="15"/>
  <c r="D14" i="14"/>
  <c r="D14" i="3"/>
  <c r="E14" i="3"/>
  <c r="G14" i="3" s="1"/>
  <c r="E12" i="22"/>
  <c r="G12" i="22" s="1"/>
  <c r="D12" i="22"/>
  <c r="D13" i="11"/>
  <c r="B16" i="11"/>
  <c r="E13" i="11"/>
  <c r="G13" i="11" s="1"/>
  <c r="E18" i="9"/>
  <c r="G18" i="9" s="1"/>
  <c r="D18" i="9"/>
  <c r="B14" i="21"/>
  <c r="D12" i="21"/>
  <c r="E12" i="21"/>
  <c r="G12" i="21" s="1"/>
  <c r="D14" i="1"/>
  <c r="E17" i="22"/>
  <c r="D17" i="22"/>
  <c r="B15" i="19"/>
  <c r="E12" i="19"/>
  <c r="G12" i="19" s="1"/>
  <c r="D12" i="19"/>
  <c r="B18" i="6"/>
  <c r="D13" i="6"/>
  <c r="G19" i="19"/>
  <c r="J50" i="35"/>
  <c r="J38" i="35"/>
  <c r="G19" i="32"/>
  <c r="J14" i="35"/>
  <c r="G20" i="6"/>
  <c r="J15" i="35"/>
  <c r="J40" i="35"/>
  <c r="E34" i="1"/>
  <c r="G34" i="1" s="1"/>
  <c r="J20" i="35"/>
  <c r="G18" i="16"/>
  <c r="E24" i="22"/>
  <c r="G24" i="22" s="1"/>
  <c r="D24" i="22"/>
  <c r="E14" i="28"/>
  <c r="G14" i="28" s="1"/>
  <c r="D14" i="28"/>
  <c r="E16" i="12"/>
  <c r="D16" i="12"/>
  <c r="D12" i="12"/>
  <c r="E12" i="12"/>
  <c r="G12" i="12" s="1"/>
  <c r="D18" i="22"/>
  <c r="E18" i="22"/>
  <c r="G18" i="22" s="1"/>
  <c r="E14" i="11"/>
  <c r="G14" i="11" s="1"/>
  <c r="D14" i="11"/>
  <c r="E16" i="10"/>
  <c r="D16" i="10"/>
  <c r="E16" i="9"/>
  <c r="D16" i="9"/>
  <c r="E14" i="15"/>
  <c r="G14" i="15" s="1"/>
  <c r="D14" i="15"/>
  <c r="D14" i="13"/>
  <c r="E17" i="19"/>
  <c r="G17" i="19" s="1"/>
  <c r="D17" i="19"/>
  <c r="E14" i="18"/>
  <c r="G39" i="18" s="1"/>
  <c r="D20" i="18"/>
  <c r="B18" i="35" s="1"/>
  <c r="G20" i="31"/>
  <c r="J35" i="35"/>
  <c r="G29" i="14"/>
  <c r="J22" i="35"/>
  <c r="J41" i="35"/>
  <c r="G29" i="13"/>
  <c r="G43" i="13" s="1"/>
  <c r="B23" i="33" s="1"/>
  <c r="J23" i="35"/>
  <c r="G18" i="3"/>
  <c r="J13" i="35"/>
  <c r="D22" i="13"/>
  <c r="E18" i="10"/>
  <c r="G18" i="10" s="1"/>
  <c r="D18" i="10"/>
  <c r="E14" i="16"/>
  <c r="G14" i="16" s="1"/>
  <c r="D14" i="16"/>
  <c r="E19" i="21"/>
  <c r="G19" i="21" s="1"/>
  <c r="D19" i="21"/>
  <c r="D24" i="14"/>
  <c r="D22" i="21"/>
  <c r="E22" i="21"/>
  <c r="G22" i="21" s="1"/>
  <c r="D18" i="31"/>
  <c r="E18" i="31"/>
  <c r="G18" i="31" s="1"/>
  <c r="D18" i="12"/>
  <c r="E18" i="12"/>
  <c r="B16" i="28"/>
  <c r="E13" i="28"/>
  <c r="G13" i="28" s="1"/>
  <c r="D13" i="28"/>
  <c r="G24" i="21"/>
  <c r="J45" i="35"/>
  <c r="G16" i="18"/>
  <c r="J30" i="35"/>
  <c r="G18" i="28"/>
  <c r="E39" i="28"/>
  <c r="G39" i="28" s="1"/>
  <c r="E28" i="25"/>
  <c r="E44" i="25" s="1"/>
  <c r="G44" i="25" s="1"/>
  <c r="G29" i="7" s="1"/>
  <c r="K29" i="7" s="1"/>
  <c r="D28" i="25"/>
  <c r="G18" i="15"/>
  <c r="J21" i="35"/>
  <c r="J32" i="35"/>
  <c r="G18" i="11"/>
  <c r="E12" i="10"/>
  <c r="G12" i="10" s="1"/>
  <c r="D12" i="10"/>
  <c r="E13" i="3"/>
  <c r="G13" i="3" s="1"/>
  <c r="B16" i="3"/>
  <c r="D13" i="3"/>
  <c r="D23" i="14"/>
  <c r="D14" i="6"/>
  <c r="D12" i="9"/>
  <c r="E12" i="9"/>
  <c r="G12" i="9" s="1"/>
  <c r="E17" i="21"/>
  <c r="D17" i="21"/>
  <c r="E19" i="22"/>
  <c r="G19" i="22" s="1"/>
  <c r="D19" i="22"/>
  <c r="D13" i="16"/>
  <c r="E13" i="16"/>
  <c r="G13" i="16" s="1"/>
  <c r="D18" i="21"/>
  <c r="E18" i="21"/>
  <c r="G18" i="21" s="1"/>
  <c r="D23" i="13"/>
  <c r="G20" i="9"/>
  <c r="J34" i="35"/>
  <c r="J33" i="35"/>
  <c r="G20" i="10"/>
  <c r="J39" i="35"/>
  <c r="E13" i="12"/>
  <c r="E13" i="10"/>
  <c r="E13" i="9"/>
  <c r="J15" i="7" l="1"/>
  <c r="J7" i="35"/>
  <c r="K15" i="7"/>
  <c r="G15" i="7"/>
  <c r="J12" i="35"/>
  <c r="J16" i="35" s="1"/>
  <c r="G19" i="7"/>
  <c r="K19" i="7" s="1"/>
  <c r="G11" i="47" s="1"/>
  <c r="G27" i="47" s="1"/>
  <c r="D34" i="39"/>
  <c r="D40" i="39" s="1"/>
  <c r="D34" i="38"/>
  <c r="D40" i="38" s="1"/>
  <c r="D30" i="18"/>
  <c r="G17" i="21"/>
  <c r="G34" i="21"/>
  <c r="G17" i="22"/>
  <c r="G16" i="9"/>
  <c r="G50" i="25"/>
  <c r="G20" i="18"/>
  <c r="F18" i="35" s="1"/>
  <c r="G18" i="35" s="1"/>
  <c r="L18" i="35"/>
  <c r="G16" i="10"/>
  <c r="G16" i="12"/>
  <c r="E14" i="12"/>
  <c r="G24" i="12" s="1"/>
  <c r="H24" i="12" s="1"/>
  <c r="J46" i="35"/>
  <c r="D12" i="31"/>
  <c r="E12" i="31"/>
  <c r="G12" i="31" s="1"/>
  <c r="D15" i="32"/>
  <c r="E15" i="32"/>
  <c r="G15" i="32" s="1"/>
  <c r="D16" i="31"/>
  <c r="E16" i="31"/>
  <c r="E18" i="1"/>
  <c r="G40" i="1" s="1"/>
  <c r="D24" i="1"/>
  <c r="D23" i="25"/>
  <c r="B19" i="35" s="1"/>
  <c r="G28" i="25"/>
  <c r="J19" i="35"/>
  <c r="J36" i="35"/>
  <c r="E14" i="21"/>
  <c r="D28" i="21"/>
  <c r="B45" i="35" s="1"/>
  <c r="E14" i="22"/>
  <c r="G48" i="22" s="1"/>
  <c r="D30" i="22"/>
  <c r="B44" i="35" s="1"/>
  <c r="B17" i="14"/>
  <c r="D13" i="14"/>
  <c r="D14" i="32"/>
  <c r="E14" i="32"/>
  <c r="G14" i="32" s="1"/>
  <c r="E14" i="5"/>
  <c r="G14" i="5" s="1"/>
  <c r="D14" i="5"/>
  <c r="D13" i="13"/>
  <c r="D43" i="13" s="1"/>
  <c r="E16" i="16"/>
  <c r="D22" i="16"/>
  <c r="D30" i="16" s="1"/>
  <c r="D37" i="16" s="1"/>
  <c r="E16" i="28"/>
  <c r="D24" i="28"/>
  <c r="B7" i="35" s="1"/>
  <c r="B14" i="12"/>
  <c r="J42" i="35"/>
  <c r="E16" i="15"/>
  <c r="D22" i="15"/>
  <c r="D30" i="15" s="1"/>
  <c r="D36" i="15" s="1"/>
  <c r="E15" i="4"/>
  <c r="G15" i="4" s="1"/>
  <c r="D15" i="4"/>
  <c r="B14" i="9"/>
  <c r="E16" i="3"/>
  <c r="G40" i="3" s="1"/>
  <c r="D22" i="3"/>
  <c r="B13" i="35" s="1"/>
  <c r="B14" i="10"/>
  <c r="Q38" i="35"/>
  <c r="E16" i="11"/>
  <c r="D22" i="11"/>
  <c r="B32" i="35" s="1"/>
  <c r="D32" i="35" s="1"/>
  <c r="D13" i="5"/>
  <c r="B16" i="5"/>
  <c r="E13" i="5"/>
  <c r="G13" i="5" s="1"/>
  <c r="E13" i="32"/>
  <c r="G13" i="32" s="1"/>
  <c r="D13" i="32"/>
  <c r="E18" i="6"/>
  <c r="G41" i="6" s="1"/>
  <c r="D24" i="6"/>
  <c r="D33" i="6" s="1"/>
  <c r="D39" i="6" s="1"/>
  <c r="E15" i="19"/>
  <c r="D23" i="19"/>
  <c r="D31" i="19" s="1"/>
  <c r="D37" i="19" s="1"/>
  <c r="E13" i="31"/>
  <c r="D35" i="28" l="1"/>
  <c r="D43" i="28" s="1"/>
  <c r="D49" i="13"/>
  <c r="C37" i="7"/>
  <c r="D33" i="14"/>
  <c r="G33" i="14"/>
  <c r="G51" i="14"/>
  <c r="C27" i="7"/>
  <c r="D37" i="18"/>
  <c r="D30" i="11"/>
  <c r="D36" i="11" s="1"/>
  <c r="D43" i="14"/>
  <c r="C39" i="7"/>
  <c r="C41" i="7"/>
  <c r="C33" i="7"/>
  <c r="C31" i="7"/>
  <c r="C25" i="7"/>
  <c r="C27" i="35"/>
  <c r="D27" i="35" s="1"/>
  <c r="C33" i="35"/>
  <c r="C26" i="35"/>
  <c r="D26" i="35" s="1"/>
  <c r="F19" i="35"/>
  <c r="L19" i="35"/>
  <c r="G23" i="19"/>
  <c r="F50" i="35" s="1"/>
  <c r="B44" i="33" s="1"/>
  <c r="G39" i="19"/>
  <c r="Q50" i="35" s="1"/>
  <c r="L50" i="35"/>
  <c r="G28" i="21"/>
  <c r="G46" i="21"/>
  <c r="G32" i="21"/>
  <c r="L45" i="35" s="1"/>
  <c r="G16" i="31"/>
  <c r="G22" i="11"/>
  <c r="G38" i="11"/>
  <c r="L32" i="35"/>
  <c r="G22" i="15"/>
  <c r="G30" i="15" s="1"/>
  <c r="B21" i="33" s="1"/>
  <c r="G38" i="15"/>
  <c r="L21" i="35"/>
  <c r="G22" i="16"/>
  <c r="G39" i="16"/>
  <c r="Q19" i="35"/>
  <c r="Q18" i="35"/>
  <c r="G24" i="6"/>
  <c r="L15" i="35"/>
  <c r="G22" i="3"/>
  <c r="L12" i="35"/>
  <c r="B50" i="35"/>
  <c r="D50" i="35" s="1"/>
  <c r="B15" i="35"/>
  <c r="D32" i="1"/>
  <c r="B12" i="35"/>
  <c r="D12" i="35" s="1"/>
  <c r="D7" i="35"/>
  <c r="D38" i="21"/>
  <c r="D44" i="21" s="1"/>
  <c r="G42" i="12"/>
  <c r="L30" i="35"/>
  <c r="B38" i="35"/>
  <c r="D38" i="35" s="1"/>
  <c r="F38" i="35"/>
  <c r="P38" i="35" s="1"/>
  <c r="D45" i="35"/>
  <c r="G30" i="22"/>
  <c r="G40" i="22" s="1"/>
  <c r="L44" i="35"/>
  <c r="D40" i="22"/>
  <c r="B14" i="31"/>
  <c r="D24" i="31" s="1"/>
  <c r="D34" i="31" s="1"/>
  <c r="D40" i="31" s="1"/>
  <c r="D24" i="12"/>
  <c r="B23" i="35"/>
  <c r="D23" i="35" s="1"/>
  <c r="B21" i="35"/>
  <c r="D21" i="35" s="1"/>
  <c r="B20" i="35"/>
  <c r="D18" i="35"/>
  <c r="H18" i="35"/>
  <c r="D13" i="35"/>
  <c r="G24" i="1"/>
  <c r="E36" i="1" s="1"/>
  <c r="G36" i="1" s="1"/>
  <c r="L19" i="7" s="1"/>
  <c r="G24" i="28"/>
  <c r="F7" i="35" s="1"/>
  <c r="C15" i="7"/>
  <c r="D31" i="3"/>
  <c r="D37" i="3" s="1"/>
  <c r="D19" i="4"/>
  <c r="E40" i="4"/>
  <c r="G40" i="4" s="1"/>
  <c r="E14" i="10"/>
  <c r="D24" i="10"/>
  <c r="D34" i="10" s="1"/>
  <c r="D40" i="10" s="1"/>
  <c r="B22" i="35"/>
  <c r="G13" i="4"/>
  <c r="D13" i="4"/>
  <c r="E16" i="5"/>
  <c r="D27" i="5"/>
  <c r="C65" i="7"/>
  <c r="E17" i="32"/>
  <c r="G39" i="32" s="1"/>
  <c r="D23" i="32"/>
  <c r="D31" i="32" s="1"/>
  <c r="D37" i="32" s="1"/>
  <c r="B46" i="35"/>
  <c r="D44" i="35"/>
  <c r="D20" i="5"/>
  <c r="E20" i="5"/>
  <c r="E14" i="9"/>
  <c r="D24" i="9"/>
  <c r="D34" i="9" s="1"/>
  <c r="D40" i="9" s="1"/>
  <c r="D42" i="25"/>
  <c r="D38" i="1" l="1"/>
  <c r="C19" i="7"/>
  <c r="F13" i="35"/>
  <c r="G31" i="3"/>
  <c r="B15" i="33" s="1"/>
  <c r="G20" i="5"/>
  <c r="E42" i="5"/>
  <c r="F20" i="35"/>
  <c r="G30" i="16"/>
  <c r="B20" i="33" s="1"/>
  <c r="D49" i="14"/>
  <c r="C35" i="7"/>
  <c r="D48" i="25"/>
  <c r="C29" i="7"/>
  <c r="K11" i="7"/>
  <c r="C59" i="7"/>
  <c r="D46" i="22"/>
  <c r="Q45" i="35"/>
  <c r="E14" i="31"/>
  <c r="G24" i="31" s="1"/>
  <c r="F35" i="35" s="1"/>
  <c r="L20" i="35"/>
  <c r="P20" i="35" s="1"/>
  <c r="F15" i="35"/>
  <c r="H15" i="35" s="1"/>
  <c r="L13" i="35"/>
  <c r="P13" i="35" s="1"/>
  <c r="E35" i="3"/>
  <c r="G35" i="3" s="1"/>
  <c r="F45" i="35"/>
  <c r="C14" i="36"/>
  <c r="D38" i="5"/>
  <c r="D46" i="5" s="1"/>
  <c r="D36" i="4"/>
  <c r="D44" i="4" s="1"/>
  <c r="C61" i="7"/>
  <c r="F41" i="7"/>
  <c r="I41" i="7" s="1"/>
  <c r="C14" i="40"/>
  <c r="C23" i="7"/>
  <c r="C14" i="41"/>
  <c r="C30" i="35"/>
  <c r="C36" i="35" s="1"/>
  <c r="D34" i="12"/>
  <c r="D40" i="12" s="1"/>
  <c r="C28" i="35"/>
  <c r="D28" i="35" s="1"/>
  <c r="C47" i="7"/>
  <c r="C21" i="7"/>
  <c r="L46" i="35"/>
  <c r="L35" i="35"/>
  <c r="G24" i="9"/>
  <c r="G42" i="9"/>
  <c r="L34" i="35"/>
  <c r="Q32" i="35"/>
  <c r="F32" i="35"/>
  <c r="F23" i="35"/>
  <c r="L23" i="35"/>
  <c r="F22" i="35"/>
  <c r="L22" i="35"/>
  <c r="Q21" i="35"/>
  <c r="F21" i="35"/>
  <c r="G21" i="35" s="1"/>
  <c r="Q20" i="35"/>
  <c r="Q15" i="35"/>
  <c r="G23" i="32"/>
  <c r="G31" i="32" s="1"/>
  <c r="B16" i="33" s="1"/>
  <c r="L14" i="35"/>
  <c r="L16" i="35" s="1"/>
  <c r="B6" i="35"/>
  <c r="D6" i="35" s="1"/>
  <c r="E40" i="5"/>
  <c r="G40" i="5" s="1"/>
  <c r="J13" i="7" s="1"/>
  <c r="G27" i="5"/>
  <c r="L6" i="35"/>
  <c r="B5" i="35"/>
  <c r="E38" i="4"/>
  <c r="G38" i="4" s="1"/>
  <c r="J11" i="7" s="1"/>
  <c r="J67" i="7" s="1"/>
  <c r="G50" i="35"/>
  <c r="Q12" i="35"/>
  <c r="P50" i="35"/>
  <c r="R50" i="35" s="1"/>
  <c r="D24" i="40"/>
  <c r="E50" i="35"/>
  <c r="H50" i="35"/>
  <c r="C24" i="36"/>
  <c r="C24" i="41"/>
  <c r="C24" i="40"/>
  <c r="Q44" i="35"/>
  <c r="Q46" i="35" s="1"/>
  <c r="B14" i="35"/>
  <c r="D14" i="35" s="1"/>
  <c r="L7" i="35"/>
  <c r="K7" i="35"/>
  <c r="G24" i="10"/>
  <c r="F33" i="35" s="1"/>
  <c r="G42" i="10"/>
  <c r="L33" i="35"/>
  <c r="Q30" i="35"/>
  <c r="B30" i="35"/>
  <c r="R38" i="35"/>
  <c r="P19" i="35"/>
  <c r="R19" i="35" s="1"/>
  <c r="H7" i="35"/>
  <c r="D44" i="33"/>
  <c r="F44" i="33" s="1"/>
  <c r="H13" i="35"/>
  <c r="G38" i="35"/>
  <c r="G13" i="35"/>
  <c r="H38" i="35"/>
  <c r="F44" i="35"/>
  <c r="B35" i="35"/>
  <c r="C53" i="7"/>
  <c r="D22" i="35"/>
  <c r="D20" i="35"/>
  <c r="H20" i="35"/>
  <c r="G20" i="35"/>
  <c r="H19" i="35"/>
  <c r="G19" i="35"/>
  <c r="D15" i="35"/>
  <c r="F12" i="35"/>
  <c r="G7" i="35"/>
  <c r="C11" i="7"/>
  <c r="D19" i="35"/>
  <c r="B24" i="35"/>
  <c r="C51" i="7"/>
  <c r="B34" i="35"/>
  <c r="D34" i="35" s="1"/>
  <c r="B33" i="35"/>
  <c r="D46" i="35"/>
  <c r="G19" i="4"/>
  <c r="J5" i="35"/>
  <c r="G42" i="5"/>
  <c r="K13" i="7" s="1"/>
  <c r="E38" i="9" l="1"/>
  <c r="F34" i="35"/>
  <c r="G34" i="9"/>
  <c r="B32" i="33" s="1"/>
  <c r="G11" i="7"/>
  <c r="G8" i="47"/>
  <c r="M41" i="7"/>
  <c r="N41" i="7" s="1"/>
  <c r="J6" i="35"/>
  <c r="G13" i="7"/>
  <c r="G45" i="35"/>
  <c r="H45" i="35"/>
  <c r="P45" i="35"/>
  <c r="R45" i="35" s="1"/>
  <c r="G42" i="31"/>
  <c r="Q35" i="35" s="1"/>
  <c r="G15" i="35"/>
  <c r="P15" i="35"/>
  <c r="R15" i="35" s="1"/>
  <c r="F14" i="35"/>
  <c r="D10" i="40" s="1"/>
  <c r="M7" i="35"/>
  <c r="N7" i="35" s="1"/>
  <c r="C30" i="36"/>
  <c r="C13" i="7"/>
  <c r="L8" i="35"/>
  <c r="F6" i="35"/>
  <c r="M5" i="35"/>
  <c r="C10" i="36"/>
  <c r="C12" i="41"/>
  <c r="D30" i="35"/>
  <c r="C49" i="7"/>
  <c r="C12" i="36"/>
  <c r="C12" i="40"/>
  <c r="C10" i="41"/>
  <c r="C10" i="40"/>
  <c r="C43" i="7"/>
  <c r="C52" i="35"/>
  <c r="H21" i="35"/>
  <c r="L36" i="35"/>
  <c r="Q34" i="35"/>
  <c r="P32" i="35"/>
  <c r="R32" i="35" s="1"/>
  <c r="G32" i="35"/>
  <c r="H32" i="35"/>
  <c r="Q33" i="35"/>
  <c r="L24" i="35"/>
  <c r="Q23" i="35"/>
  <c r="P22" i="35"/>
  <c r="Q22" i="35"/>
  <c r="P21" i="35"/>
  <c r="R21" i="35" s="1"/>
  <c r="R20" i="35"/>
  <c r="Q14" i="35"/>
  <c r="Q41" i="35"/>
  <c r="G35" i="28"/>
  <c r="M44" i="35"/>
  <c r="E24" i="40"/>
  <c r="F24" i="40" s="1"/>
  <c r="D24" i="41"/>
  <c r="P7" i="35"/>
  <c r="D12" i="40"/>
  <c r="P44" i="35"/>
  <c r="F46" i="35"/>
  <c r="E46" i="35" s="1"/>
  <c r="P35" i="35"/>
  <c r="P34" i="35"/>
  <c r="P33" i="35"/>
  <c r="P23" i="35"/>
  <c r="F24" i="35"/>
  <c r="P12" i="35"/>
  <c r="R12" i="35" s="1"/>
  <c r="G23" i="35"/>
  <c r="F41" i="35"/>
  <c r="P41" i="35" s="1"/>
  <c r="R41" i="35" s="1"/>
  <c r="H23" i="35"/>
  <c r="H22" i="35"/>
  <c r="G22" i="35"/>
  <c r="F5" i="35"/>
  <c r="H44" i="35"/>
  <c r="G44" i="35"/>
  <c r="D35" i="35"/>
  <c r="H35" i="35"/>
  <c r="G35" i="35"/>
  <c r="G34" i="35"/>
  <c r="H34" i="35"/>
  <c r="G33" i="35"/>
  <c r="H33" i="35"/>
  <c r="B16" i="35"/>
  <c r="D16" i="35" s="1"/>
  <c r="H12" i="35"/>
  <c r="G12" i="35"/>
  <c r="D5" i="35"/>
  <c r="D8" i="35" s="1"/>
  <c r="B8" i="35"/>
  <c r="D24" i="35"/>
  <c r="D33" i="35"/>
  <c r="B36" i="35"/>
  <c r="B41" i="35"/>
  <c r="J8" i="35"/>
  <c r="J52" i="35" s="1"/>
  <c r="C67" i="7" l="1"/>
  <c r="B9" i="33"/>
  <c r="E41" i="28"/>
  <c r="G41" i="28" s="1"/>
  <c r="F16" i="35"/>
  <c r="E16" i="35" s="1"/>
  <c r="H14" i="35"/>
  <c r="G14" i="35"/>
  <c r="G16" i="35" s="1"/>
  <c r="P14" i="35"/>
  <c r="R14" i="35" s="1"/>
  <c r="D15" i="7"/>
  <c r="F15" i="7" s="1"/>
  <c r="I15" i="7" s="1"/>
  <c r="K5" i="35"/>
  <c r="N5" i="35" s="1"/>
  <c r="G36" i="4"/>
  <c r="H6" i="35"/>
  <c r="L52" i="35"/>
  <c r="C8" i="41"/>
  <c r="G6" i="35"/>
  <c r="D8" i="40"/>
  <c r="D8" i="41" s="1"/>
  <c r="P6" i="35"/>
  <c r="C8" i="36"/>
  <c r="C8" i="40"/>
  <c r="C16" i="41"/>
  <c r="C16" i="36"/>
  <c r="C16" i="40"/>
  <c r="Q36" i="35"/>
  <c r="M34" i="35"/>
  <c r="R34" i="35"/>
  <c r="R35" i="35"/>
  <c r="Q24" i="35"/>
  <c r="R23" i="35"/>
  <c r="R22" i="35"/>
  <c r="K34" i="35"/>
  <c r="Q40" i="35"/>
  <c r="Q39" i="35"/>
  <c r="Q42" i="35" s="1"/>
  <c r="K44" i="35"/>
  <c r="N44" i="35" s="1"/>
  <c r="B38" i="33"/>
  <c r="E24" i="35"/>
  <c r="D10" i="41"/>
  <c r="E10" i="40"/>
  <c r="F10" i="40" s="1"/>
  <c r="E12" i="40"/>
  <c r="F12" i="40" s="1"/>
  <c r="D12" i="41"/>
  <c r="H24" i="35"/>
  <c r="G24" i="35"/>
  <c r="G46" i="35"/>
  <c r="H46" i="35"/>
  <c r="P46" i="35"/>
  <c r="R44" i="35"/>
  <c r="R46" i="35" s="1"/>
  <c r="R33" i="35"/>
  <c r="P16" i="35"/>
  <c r="H5" i="35"/>
  <c r="P5" i="35"/>
  <c r="F8" i="35"/>
  <c r="E8" i="35" s="1"/>
  <c r="F40" i="35"/>
  <c r="P40" i="35" s="1"/>
  <c r="R40" i="35" s="1"/>
  <c r="F39" i="35"/>
  <c r="G5" i="35"/>
  <c r="D41" i="35"/>
  <c r="H41" i="35"/>
  <c r="G41" i="35"/>
  <c r="D36" i="35"/>
  <c r="B39" i="35"/>
  <c r="B40" i="35"/>
  <c r="B7" i="33" l="1"/>
  <c r="E42" i="4"/>
  <c r="G42" i="4" s="1"/>
  <c r="H16" i="35"/>
  <c r="L15" i="7"/>
  <c r="M15" i="7" s="1"/>
  <c r="N15" i="7" s="1"/>
  <c r="G43" i="28"/>
  <c r="E44" i="22"/>
  <c r="G44" i="22" s="1"/>
  <c r="L59" i="7" s="1"/>
  <c r="M6" i="35"/>
  <c r="D11" i="7"/>
  <c r="D59" i="7"/>
  <c r="F59" i="7" s="1"/>
  <c r="I59" i="7" s="1"/>
  <c r="E8" i="40"/>
  <c r="F8" i="40" s="1"/>
  <c r="P8" i="35"/>
  <c r="P54" i="35" s="1"/>
  <c r="C18" i="41"/>
  <c r="C26" i="41" s="1"/>
  <c r="C18" i="40"/>
  <c r="C26" i="40" s="1"/>
  <c r="C29" i="36"/>
  <c r="M8" i="35"/>
  <c r="K6" i="35"/>
  <c r="G38" i="5"/>
  <c r="N34" i="35"/>
  <c r="P39" i="35"/>
  <c r="R39" i="35" s="1"/>
  <c r="R42" i="35" s="1"/>
  <c r="D18" i="40"/>
  <c r="H8" i="35"/>
  <c r="C18" i="36"/>
  <c r="C26" i="36" s="1"/>
  <c r="P42" i="35"/>
  <c r="G8" i="35"/>
  <c r="F42" i="35"/>
  <c r="D40" i="35"/>
  <c r="H40" i="35"/>
  <c r="G40" i="35"/>
  <c r="H39" i="35"/>
  <c r="G39" i="35"/>
  <c r="D39" i="35"/>
  <c r="B42" i="35"/>
  <c r="B52" i="35" s="1"/>
  <c r="F11" i="7" l="1"/>
  <c r="B8" i="33"/>
  <c r="B10" i="33" s="1"/>
  <c r="D10" i="33" s="1"/>
  <c r="F10" i="33" s="1"/>
  <c r="E44" i="5"/>
  <c r="G44" i="5" s="1"/>
  <c r="M59" i="7"/>
  <c r="N59" i="7" s="1"/>
  <c r="I11" i="7"/>
  <c r="G46" i="22"/>
  <c r="D51" i="7"/>
  <c r="F51" i="7" s="1"/>
  <c r="I51" i="7" s="1"/>
  <c r="G38" i="9"/>
  <c r="L51" i="7" s="1"/>
  <c r="D13" i="7"/>
  <c r="F13" i="7" s="1"/>
  <c r="I13" i="7" s="1"/>
  <c r="P52" i="35"/>
  <c r="P55" i="35" s="1"/>
  <c r="N6" i="35"/>
  <c r="N8" i="35" s="1"/>
  <c r="K8" i="35"/>
  <c r="D18" i="41"/>
  <c r="E18" i="40"/>
  <c r="G42" i="35"/>
  <c r="H42" i="35"/>
  <c r="D42" i="35"/>
  <c r="D52" i="35" s="1"/>
  <c r="F8" i="47" l="1"/>
  <c r="E8" i="47" s="1"/>
  <c r="M51" i="7"/>
  <c r="N51" i="7" s="1"/>
  <c r="L13" i="7"/>
  <c r="M13" i="7" s="1"/>
  <c r="N13" i="7" s="1"/>
  <c r="G46" i="5"/>
  <c r="G40" i="9"/>
  <c r="D8" i="36"/>
  <c r="E8" i="36" s="1"/>
  <c r="F8" i="36" s="1"/>
  <c r="F8" i="41"/>
  <c r="E8" i="41" s="1"/>
  <c r="E42" i="35"/>
  <c r="F18" i="40"/>
  <c r="K12" i="35"/>
  <c r="M12" i="35"/>
  <c r="D8" i="47" l="1"/>
  <c r="H8" i="47"/>
  <c r="G8" i="41"/>
  <c r="J8" i="41" s="1"/>
  <c r="F42" i="33"/>
  <c r="G32" i="1"/>
  <c r="N12" i="35"/>
  <c r="M13" i="35"/>
  <c r="G38" i="1" l="1"/>
  <c r="B14" i="33"/>
  <c r="D19" i="7"/>
  <c r="D21" i="7"/>
  <c r="F21" i="7" s="1"/>
  <c r="I21" i="7" s="1"/>
  <c r="N13" i="35"/>
  <c r="M14" i="35"/>
  <c r="F19" i="7" l="1"/>
  <c r="K14" i="35"/>
  <c r="I19" i="7" l="1"/>
  <c r="M19" i="7"/>
  <c r="N19" i="7" s="1"/>
  <c r="D23" i="7"/>
  <c r="E35" i="32"/>
  <c r="G35" i="32" s="1"/>
  <c r="N14" i="35"/>
  <c r="K15" i="35"/>
  <c r="M15" i="35"/>
  <c r="M16" i="35" s="1"/>
  <c r="F23" i="7" l="1"/>
  <c r="G33" i="6"/>
  <c r="B17" i="33" s="1"/>
  <c r="N15" i="35"/>
  <c r="N16" i="35" s="1"/>
  <c r="K19" i="35"/>
  <c r="I23" i="7" l="1"/>
  <c r="F9" i="47"/>
  <c r="E9" i="47" s="1"/>
  <c r="D25" i="7"/>
  <c r="F10" i="41" s="1"/>
  <c r="G10" i="41" s="1"/>
  <c r="J10" i="41" s="1"/>
  <c r="E37" i="6"/>
  <c r="M18" i="35"/>
  <c r="G42" i="25"/>
  <c r="B19" i="33" s="1"/>
  <c r="K18" i="35"/>
  <c r="M19" i="35"/>
  <c r="D9" i="47" l="1"/>
  <c r="H9" i="47"/>
  <c r="G37" i="6"/>
  <c r="D10" i="36"/>
  <c r="E10" i="36" s="1"/>
  <c r="F10" i="36" s="1"/>
  <c r="D29" i="7"/>
  <c r="F29" i="7" s="1"/>
  <c r="I29" i="7" s="1"/>
  <c r="E46" i="25"/>
  <c r="G46" i="25" s="1"/>
  <c r="L29" i="7" s="1"/>
  <c r="E10" i="41"/>
  <c r="F25" i="7"/>
  <c r="G30" i="18"/>
  <c r="N19" i="35"/>
  <c r="M20" i="35"/>
  <c r="M21" i="35"/>
  <c r="I25" i="7" l="1"/>
  <c r="F11" i="47"/>
  <c r="E11" i="47" s="1"/>
  <c r="B18" i="33"/>
  <c r="M29" i="7"/>
  <c r="N29" i="7" s="1"/>
  <c r="G39" i="6"/>
  <c r="L25" i="7"/>
  <c r="M25" i="7" s="1"/>
  <c r="N25" i="7" s="1"/>
  <c r="G48" i="25"/>
  <c r="D27" i="7"/>
  <c r="F27" i="7" s="1"/>
  <c r="K21" i="35"/>
  <c r="K20" i="35"/>
  <c r="K22" i="35"/>
  <c r="I27" i="7" l="1"/>
  <c r="D11" i="47"/>
  <c r="H11" i="47"/>
  <c r="D33" i="7"/>
  <c r="E34" i="15"/>
  <c r="G34" i="15" s="1"/>
  <c r="D31" i="7"/>
  <c r="E35" i="16"/>
  <c r="G35" i="16" s="1"/>
  <c r="G37" i="16" s="1"/>
  <c r="N21" i="35"/>
  <c r="N20" i="35"/>
  <c r="G43" i="14"/>
  <c r="B22" i="33" s="1"/>
  <c r="B24" i="33" s="1"/>
  <c r="M22" i="35"/>
  <c r="D24" i="33" l="1"/>
  <c r="F24" i="33" s="1"/>
  <c r="G36" i="15"/>
  <c r="L33" i="7"/>
  <c r="I10" i="47" s="1"/>
  <c r="F31" i="7"/>
  <c r="F33" i="7"/>
  <c r="D35" i="7"/>
  <c r="F35" i="7" s="1"/>
  <c r="I35" i="7" s="1"/>
  <c r="E47" i="14"/>
  <c r="G47" i="14" s="1"/>
  <c r="L35" i="7" s="1"/>
  <c r="L31" i="7"/>
  <c r="N22" i="35"/>
  <c r="M23" i="35"/>
  <c r="M24" i="35" s="1"/>
  <c r="M31" i="7" l="1"/>
  <c r="N31" i="7" s="1"/>
  <c r="I31" i="7"/>
  <c r="I33" i="7"/>
  <c r="F10" i="47"/>
  <c r="E10" i="47" s="1"/>
  <c r="M35" i="7"/>
  <c r="N35" i="7" s="1"/>
  <c r="M33" i="7"/>
  <c r="N33" i="7" s="1"/>
  <c r="G49" i="14"/>
  <c r="K23" i="35"/>
  <c r="K30" i="35"/>
  <c r="D10" i="47" l="1"/>
  <c r="J10" i="47" s="1"/>
  <c r="K10" i="47" s="1"/>
  <c r="L10" i="47" s="1"/>
  <c r="H10" i="47"/>
  <c r="D37" i="7"/>
  <c r="E47" i="13"/>
  <c r="G47" i="13" s="1"/>
  <c r="L37" i="7" s="1"/>
  <c r="N23" i="35"/>
  <c r="K24" i="35"/>
  <c r="M30" i="35"/>
  <c r="M32" i="35"/>
  <c r="F12" i="41" l="1"/>
  <c r="G12" i="41" s="1"/>
  <c r="J12" i="41" s="1"/>
  <c r="D12" i="36"/>
  <c r="E12" i="36" s="1"/>
  <c r="F37" i="7"/>
  <c r="G49" i="13"/>
  <c r="K32" i="35"/>
  <c r="G30" i="11"/>
  <c r="B29" i="33" s="1"/>
  <c r="K33" i="35"/>
  <c r="M33" i="35"/>
  <c r="I37" i="7" l="1"/>
  <c r="F12" i="47"/>
  <c r="M37" i="7"/>
  <c r="N37" i="7" s="1"/>
  <c r="E12" i="41"/>
  <c r="D47" i="7"/>
  <c r="F47" i="7" s="1"/>
  <c r="I47" i="7" s="1"/>
  <c r="E34" i="11"/>
  <c r="G34" i="11" s="1"/>
  <c r="L47" i="7" s="1"/>
  <c r="N32" i="35"/>
  <c r="F12" i="36"/>
  <c r="N33" i="35"/>
  <c r="G34" i="10"/>
  <c r="B31" i="33" s="1"/>
  <c r="K35" i="35"/>
  <c r="F13" i="47" l="1"/>
  <c r="M47" i="7"/>
  <c r="N47" i="7" s="1"/>
  <c r="D49" i="7"/>
  <c r="F49" i="7" s="1"/>
  <c r="I49" i="7" s="1"/>
  <c r="E38" i="10"/>
  <c r="G38" i="10" s="1"/>
  <c r="L49" i="7" s="1"/>
  <c r="G36" i="11"/>
  <c r="K36" i="35"/>
  <c r="G34" i="31"/>
  <c r="B33" i="33" s="1"/>
  <c r="M35" i="35"/>
  <c r="M49" i="7" l="1"/>
  <c r="N49" i="7" s="1"/>
  <c r="E38" i="31"/>
  <c r="G38" i="31" s="1"/>
  <c r="L53" i="7" s="1"/>
  <c r="G40" i="10"/>
  <c r="D53" i="7"/>
  <c r="N35" i="35"/>
  <c r="M36" i="35"/>
  <c r="K38" i="35"/>
  <c r="G40" i="31" l="1"/>
  <c r="F53" i="7"/>
  <c r="I53" i="7" s="1"/>
  <c r="M38" i="35"/>
  <c r="N38" i="35" s="1"/>
  <c r="K39" i="35"/>
  <c r="M39" i="35"/>
  <c r="M53" i="7" l="1"/>
  <c r="N53" i="7" s="1"/>
  <c r="N39" i="35"/>
  <c r="K40" i="35"/>
  <c r="M40" i="35" l="1"/>
  <c r="N40" i="35" s="1"/>
  <c r="M41" i="35"/>
  <c r="M42" i="35" l="1"/>
  <c r="D29" i="36"/>
  <c r="E29" i="36" s="1"/>
  <c r="F29" i="36" s="1"/>
  <c r="K41" i="35"/>
  <c r="N41" i="35" l="1"/>
  <c r="N42" i="35" s="1"/>
  <c r="K42" i="35"/>
  <c r="K45" i="35"/>
  <c r="M45" i="35"/>
  <c r="M46" i="35" s="1"/>
  <c r="G38" i="21" l="1"/>
  <c r="B39" i="33" s="1"/>
  <c r="B40" i="33" s="1"/>
  <c r="N45" i="35"/>
  <c r="N46" i="35" s="1"/>
  <c r="K46" i="35"/>
  <c r="M50" i="35"/>
  <c r="D40" i="33" l="1"/>
  <c r="F40" i="33" s="1"/>
  <c r="E42" i="21"/>
  <c r="G42" i="21" s="1"/>
  <c r="L61" i="7" s="1"/>
  <c r="I16" i="47" s="1"/>
  <c r="D61" i="7"/>
  <c r="D30" i="36" s="1"/>
  <c r="E30" i="36" s="1"/>
  <c r="F30" i="36" s="1"/>
  <c r="G31" i="19"/>
  <c r="K50" i="35"/>
  <c r="G44" i="21" l="1"/>
  <c r="D65" i="7"/>
  <c r="E35" i="19"/>
  <c r="G35" i="19" s="1"/>
  <c r="L65" i="7" s="1"/>
  <c r="I17" i="47" s="1"/>
  <c r="M10" i="35"/>
  <c r="D18" i="36"/>
  <c r="E18" i="36" s="1"/>
  <c r="F61" i="7"/>
  <c r="F18" i="41"/>
  <c r="E18" i="41" s="1"/>
  <c r="N50" i="35"/>
  <c r="K10" i="35"/>
  <c r="M48" i="35"/>
  <c r="I61" i="7" l="1"/>
  <c r="F16" i="47"/>
  <c r="M61" i="7"/>
  <c r="N61" i="7" s="1"/>
  <c r="F24" i="41"/>
  <c r="E24" i="41" s="1"/>
  <c r="F65" i="7"/>
  <c r="D24" i="36"/>
  <c r="E24" i="36" s="1"/>
  <c r="F24" i="36" s="1"/>
  <c r="G37" i="19"/>
  <c r="G68" i="2"/>
  <c r="B12" i="33" s="1"/>
  <c r="D12" i="33" s="1"/>
  <c r="F12" i="33" s="1"/>
  <c r="M52" i="35"/>
  <c r="G18" i="41"/>
  <c r="J18" i="41" s="1"/>
  <c r="N10" i="35"/>
  <c r="F18" i="36"/>
  <c r="K48" i="35"/>
  <c r="I65" i="7" l="1"/>
  <c r="F17" i="47"/>
  <c r="E17" i="47" s="1"/>
  <c r="E16" i="47"/>
  <c r="G24" i="41"/>
  <c r="J24" i="41" s="1"/>
  <c r="M65" i="7"/>
  <c r="N65" i="7" s="1"/>
  <c r="E47" i="20"/>
  <c r="G47" i="20" s="1"/>
  <c r="D17" i="7"/>
  <c r="E70" i="2"/>
  <c r="G70" i="2" s="1"/>
  <c r="L17" i="7" s="1"/>
  <c r="I18" i="47" s="1"/>
  <c r="D63" i="7"/>
  <c r="F22" i="41" s="1"/>
  <c r="G22" i="41" s="1"/>
  <c r="J22" i="41" s="1"/>
  <c r="N48" i="35"/>
  <c r="N52" i="35" s="1"/>
  <c r="H17" i="47" l="1"/>
  <c r="D17" i="47"/>
  <c r="J17" i="47" s="1"/>
  <c r="K17" i="47" s="1"/>
  <c r="L17" i="47" s="1"/>
  <c r="D16" i="47"/>
  <c r="H16" i="47"/>
  <c r="L63" i="7"/>
  <c r="I19" i="47" s="1"/>
  <c r="G49" i="20"/>
  <c r="E22" i="41"/>
  <c r="G72" i="2"/>
  <c r="F20" i="41"/>
  <c r="D20" i="36"/>
  <c r="E20" i="36" s="1"/>
  <c r="F20" i="36" s="1"/>
  <c r="F17" i="7"/>
  <c r="F18" i="47" s="1"/>
  <c r="E18" i="47" s="1"/>
  <c r="F63" i="7"/>
  <c r="D22" i="36"/>
  <c r="E22" i="36" s="1"/>
  <c r="F22" i="36" s="1"/>
  <c r="D18" i="47" l="1"/>
  <c r="J18" i="47" s="1"/>
  <c r="K18" i="47" s="1"/>
  <c r="L18" i="47" s="1"/>
  <c r="H18" i="47"/>
  <c r="I63" i="7"/>
  <c r="F19" i="47"/>
  <c r="J16" i="47"/>
  <c r="M17" i="7"/>
  <c r="N17" i="7" s="1"/>
  <c r="I17" i="7"/>
  <c r="M63" i="7"/>
  <c r="N63" i="7" s="1"/>
  <c r="E20" i="41"/>
  <c r="G20" i="41"/>
  <c r="E19" i="47" l="1"/>
  <c r="K16" i="47"/>
  <c r="J20" i="41"/>
  <c r="D19" i="47" l="1"/>
  <c r="H19" i="47"/>
  <c r="L16" i="47"/>
  <c r="L21" i="7"/>
  <c r="G37" i="3"/>
  <c r="Q13" i="35" s="1"/>
  <c r="K13" i="35"/>
  <c r="K16" i="35" s="1"/>
  <c r="K52" i="35" s="1"/>
  <c r="M21" i="7" l="1"/>
  <c r="N21" i="7" s="1"/>
  <c r="I11" i="47"/>
  <c r="J19" i="47"/>
  <c r="R13" i="35"/>
  <c r="R16" i="35" s="1"/>
  <c r="R52" i="35" s="1"/>
  <c r="R55" i="35" s="1"/>
  <c r="Q16" i="35"/>
  <c r="Q52" i="35" s="1"/>
  <c r="Q55" i="35" s="1"/>
  <c r="L23" i="7"/>
  <c r="G37" i="32"/>
  <c r="G33" i="18"/>
  <c r="J18" i="35" s="1"/>
  <c r="P18" i="35" l="1"/>
  <c r="N18" i="35"/>
  <c r="N24" i="35" s="1"/>
  <c r="G27" i="7"/>
  <c r="E35" i="18"/>
  <c r="G35" i="18" s="1"/>
  <c r="L27" i="7" s="1"/>
  <c r="I12" i="47" s="1"/>
  <c r="I28" i="47" s="1"/>
  <c r="M23" i="7"/>
  <c r="N23" i="7" s="1"/>
  <c r="I9" i="47"/>
  <c r="J11" i="47"/>
  <c r="K19" i="47"/>
  <c r="G67" i="7"/>
  <c r="K27" i="7"/>
  <c r="G12" i="47" s="1"/>
  <c r="R18" i="35"/>
  <c r="R24" i="35" s="1"/>
  <c r="P24" i="35"/>
  <c r="J24" i="35"/>
  <c r="L11" i="7"/>
  <c r="G44" i="4"/>
  <c r="G13" i="47" l="1"/>
  <c r="G28" i="47"/>
  <c r="I13" i="47"/>
  <c r="G37" i="18"/>
  <c r="J9" i="47"/>
  <c r="K9" i="47" s="1"/>
  <c r="L9" i="47" s="1"/>
  <c r="I27" i="47"/>
  <c r="G25" i="47"/>
  <c r="E12" i="47"/>
  <c r="K11" i="47"/>
  <c r="M11" i="7"/>
  <c r="N11" i="7" s="1"/>
  <c r="I8" i="47"/>
  <c r="L19" i="47"/>
  <c r="K67" i="7"/>
  <c r="G18" i="38"/>
  <c r="G18" i="12"/>
  <c r="G20" i="12"/>
  <c r="G20" i="38"/>
  <c r="H12" i="47" l="1"/>
  <c r="D12" i="47"/>
  <c r="E13" i="47"/>
  <c r="H13" i="47" s="1"/>
  <c r="J8" i="47"/>
  <c r="L11" i="47"/>
  <c r="F26" i="35"/>
  <c r="N26" i="35" s="1"/>
  <c r="N28" i="35" s="1"/>
  <c r="G34" i="38"/>
  <c r="B26" i="33" s="1"/>
  <c r="G34" i="12"/>
  <c r="B28" i="33" s="1"/>
  <c r="F30" i="35"/>
  <c r="J12" i="47" l="1"/>
  <c r="D13" i="47"/>
  <c r="H26" i="35"/>
  <c r="G26" i="35"/>
  <c r="K8" i="47"/>
  <c r="D39" i="7"/>
  <c r="B34" i="33"/>
  <c r="B46" i="33" s="1"/>
  <c r="D14" i="40"/>
  <c r="E14" i="40" s="1"/>
  <c r="P26" i="35"/>
  <c r="R26" i="35" s="1"/>
  <c r="R28" i="35" s="1"/>
  <c r="F28" i="35"/>
  <c r="G28" i="35" s="1"/>
  <c r="E38" i="38"/>
  <c r="G38" i="38" s="1"/>
  <c r="L39" i="7" s="1"/>
  <c r="I15" i="47" s="1"/>
  <c r="G30" i="35"/>
  <c r="N30" i="35"/>
  <c r="N36" i="35" s="1"/>
  <c r="H30" i="35"/>
  <c r="F36" i="35"/>
  <c r="P30" i="35"/>
  <c r="D16" i="40"/>
  <c r="D43" i="7"/>
  <c r="E38" i="12"/>
  <c r="G38" i="12" s="1"/>
  <c r="L43" i="7" s="1"/>
  <c r="I14" i="47" s="1"/>
  <c r="F39" i="7" l="1"/>
  <c r="D67" i="7"/>
  <c r="F67" i="7" s="1"/>
  <c r="C75" i="7" s="1"/>
  <c r="I25" i="47"/>
  <c r="D14" i="41"/>
  <c r="K12" i="47"/>
  <c r="J13" i="47"/>
  <c r="H28" i="35"/>
  <c r="E28" i="35"/>
  <c r="D14" i="36"/>
  <c r="E14" i="36" s="1"/>
  <c r="I39" i="7"/>
  <c r="F15" i="47"/>
  <c r="E15" i="47" s="1"/>
  <c r="F14" i="41"/>
  <c r="G14" i="41" s="1"/>
  <c r="F52" i="35"/>
  <c r="H52" i="35" s="1"/>
  <c r="L8" i="47"/>
  <c r="P28" i="35"/>
  <c r="G40" i="38"/>
  <c r="G40" i="12"/>
  <c r="L67" i="7"/>
  <c r="M39" i="7"/>
  <c r="N39" i="7" s="1"/>
  <c r="D34" i="33"/>
  <c r="F16" i="41"/>
  <c r="F43" i="7"/>
  <c r="D16" i="36"/>
  <c r="E16" i="36" s="1"/>
  <c r="F16" i="36" s="1"/>
  <c r="G36" i="35"/>
  <c r="E36" i="35"/>
  <c r="H36" i="35"/>
  <c r="E16" i="40"/>
  <c r="F16" i="40" s="1"/>
  <c r="D16" i="41"/>
  <c r="D26" i="41" s="1"/>
  <c r="F14" i="40"/>
  <c r="R30" i="35"/>
  <c r="R36" i="35" s="1"/>
  <c r="P36" i="35"/>
  <c r="D26" i="40"/>
  <c r="C76" i="7" l="1"/>
  <c r="G52" i="35"/>
  <c r="L12" i="47"/>
  <c r="K13" i="47"/>
  <c r="L13" i="47" s="1"/>
  <c r="E52" i="35"/>
  <c r="E14" i="41"/>
  <c r="F26" i="41"/>
  <c r="D15" i="47"/>
  <c r="J15" i="47" s="1"/>
  <c r="K15" i="47" s="1"/>
  <c r="L15" i="47" s="1"/>
  <c r="H15" i="47"/>
  <c r="I43" i="7"/>
  <c r="F14" i="47"/>
  <c r="E26" i="40"/>
  <c r="F26" i="40" s="1"/>
  <c r="M43" i="7"/>
  <c r="N43" i="7" s="1"/>
  <c r="D26" i="36"/>
  <c r="F34" i="33"/>
  <c r="F46" i="33" s="1"/>
  <c r="D46" i="33"/>
  <c r="E26" i="36"/>
  <c r="F26" i="36" s="1"/>
  <c r="F14" i="36"/>
  <c r="J14" i="41"/>
  <c r="G16" i="41"/>
  <c r="J16" i="41" s="1"/>
  <c r="E16" i="41"/>
  <c r="E26" i="41" l="1"/>
  <c r="E14" i="47"/>
  <c r="F25" i="47"/>
  <c r="M67" i="7"/>
  <c r="N67" i="7" s="1"/>
  <c r="I67" i="7"/>
  <c r="G26" i="41"/>
  <c r="J26" i="41" s="1"/>
  <c r="D14" i="47" l="1"/>
  <c r="H14" i="47"/>
  <c r="H24" i="47"/>
  <c r="E25" i="47"/>
  <c r="J14" i="47" l="1"/>
  <c r="D25" i="47"/>
  <c r="K14" i="47" l="1"/>
  <c r="J25" i="47"/>
  <c r="L14" i="47" l="1"/>
  <c r="L24" i="47"/>
  <c r="K25" i="47"/>
</calcChain>
</file>

<file path=xl/sharedStrings.xml><?xml version="1.0" encoding="utf-8"?>
<sst xmlns="http://schemas.openxmlformats.org/spreadsheetml/2006/main" count="1087" uniqueCount="399">
  <si>
    <t>SMALL GENERAL SERVICE (211, 212)</t>
  </si>
  <si>
    <t xml:space="preserve">Current </t>
  </si>
  <si>
    <t>Proposed</t>
  </si>
  <si>
    <t xml:space="preserve">Billing </t>
  </si>
  <si>
    <t>Current</t>
  </si>
  <si>
    <t>Units</t>
  </si>
  <si>
    <t>Rate</t>
  </si>
  <si>
    <t>Revenue</t>
  </si>
  <si>
    <t>Billing kWh</t>
  </si>
  <si>
    <t xml:space="preserve">  First 500 kWh</t>
  </si>
  <si>
    <t xml:space="preserve">  Over 500 kWh</t>
  </si>
  <si>
    <t>Metered kWh</t>
  </si>
  <si>
    <t>Customer Charge</t>
  </si>
  <si>
    <t>Number of Customers</t>
  </si>
  <si>
    <t>Total</t>
  </si>
  <si>
    <t>Storage Water Heating</t>
  </si>
  <si>
    <t>Employee Discount</t>
  </si>
  <si>
    <t xml:space="preserve">Fuel </t>
  </si>
  <si>
    <t>Environmental Surcharge</t>
  </si>
  <si>
    <t>KENTUCKY POWER BILLING ANALYSIS</t>
  </si>
  <si>
    <t>RESIDENTIAL SERVICE (011, 012, 013, 014, 015, 017, 022, 054)</t>
  </si>
  <si>
    <t xml:space="preserve">  On-peak kWh</t>
  </si>
  <si>
    <t xml:space="preserve">  Off-peak kWh</t>
  </si>
  <si>
    <t>C&amp;LM Credit</t>
  </si>
  <si>
    <t>Overhead Lighting Service</t>
  </si>
  <si>
    <t>High Pressure Sodium</t>
  </si>
  <si>
    <t xml:space="preserve">  100 watts, 9,500 Lumens (094)</t>
  </si>
  <si>
    <t xml:space="preserve">  150 watts, 16,000 Lumens (113)</t>
  </si>
  <si>
    <t xml:space="preserve">  200 watts, 22,000 Lumens (097)</t>
  </si>
  <si>
    <t xml:space="preserve">  400 watts, 50,000 Lumens (098)</t>
  </si>
  <si>
    <t>Mercury Vapor</t>
  </si>
  <si>
    <t xml:space="preserve">  175 watts, 7,000 Lumens (093)</t>
  </si>
  <si>
    <t xml:space="preserve">  400 watts, 20,000 Lumens (095)</t>
  </si>
  <si>
    <t>Post Top Lighting Service</t>
  </si>
  <si>
    <t xml:space="preserve">  100 watts, 9,500 Lumens (111)</t>
  </si>
  <si>
    <t xml:space="preserve">  150 watts, 16,000 Lumens (122)</t>
  </si>
  <si>
    <t xml:space="preserve">  175 watts, 7,000 Lumens (099)</t>
  </si>
  <si>
    <t>Flood Lighting Service</t>
  </si>
  <si>
    <t xml:space="preserve">  200 watts, 22,000 Lumens (107)</t>
  </si>
  <si>
    <t xml:space="preserve">  400 watts, 50,000 Lumens (109)</t>
  </si>
  <si>
    <t xml:space="preserve">  250 watts, 20,500 Lumens (110)</t>
  </si>
  <si>
    <t xml:space="preserve">  400 watts, 36,000 Lumens (116)</t>
  </si>
  <si>
    <t xml:space="preserve">  1000 watts, 110,000 Lumens (131)</t>
  </si>
  <si>
    <t>Facilities Charge</t>
  </si>
  <si>
    <t xml:space="preserve">  Pole</t>
  </si>
  <si>
    <t xml:space="preserve">  Span</t>
  </si>
  <si>
    <t xml:space="preserve">  Lateral</t>
  </si>
  <si>
    <t xml:space="preserve">  On-Peak</t>
  </si>
  <si>
    <t xml:space="preserve">  Off-Peak</t>
  </si>
  <si>
    <t xml:space="preserve">Total </t>
  </si>
  <si>
    <t>SMALL GENERAL SERVICE - NON METERED (204, 213)</t>
  </si>
  <si>
    <t>MEDIUM GENERAL SERVICE - RECREATIONAL LIGHTING (214)</t>
  </si>
  <si>
    <t>All kWh</t>
  </si>
  <si>
    <t xml:space="preserve">  First 200 kWh per kW</t>
  </si>
  <si>
    <t xml:space="preserve">  Over 200 kWh per kW</t>
  </si>
  <si>
    <t xml:space="preserve">  Minimum kWh</t>
  </si>
  <si>
    <t>Billing kW</t>
  </si>
  <si>
    <t xml:space="preserve"> Standard</t>
  </si>
  <si>
    <t xml:space="preserve"> Mining Minimum</t>
  </si>
  <si>
    <t>MEDIUM GENERAL SERVICE TIME-OF-DAY (229)</t>
  </si>
  <si>
    <t>MEDIUM GENERAL SERVICE - PRIMARY (217, 220)</t>
  </si>
  <si>
    <t>MEDIUM GENERAL SERVICE - SUBTRANSMISSION (236)</t>
  </si>
  <si>
    <t>LARGE GENERAL SERVICE - SECONDARY (240, 242)</t>
  </si>
  <si>
    <t>LARGE GENERAL SERVICE - PRIMARY (244, 246)</t>
  </si>
  <si>
    <t>LARGE GENERAL SERVICE - SUBTRANSMISSION (248)</t>
  </si>
  <si>
    <t>Billing KVAR</t>
  </si>
  <si>
    <t xml:space="preserve">  Off-Peak </t>
  </si>
  <si>
    <t xml:space="preserve">  Minimum</t>
  </si>
  <si>
    <t xml:space="preserve">Number of Customers </t>
  </si>
  <si>
    <t>STREET LIGHTING (528)</t>
  </si>
  <si>
    <t>OH Service on Distribution Poles</t>
  </si>
  <si>
    <t xml:space="preserve">  100 watts, 9,500 Lumens </t>
  </si>
  <si>
    <t xml:space="preserve">  150 watts, 16,000 Lumens </t>
  </si>
  <si>
    <t xml:space="preserve">  200 watts, 22,000 Lumens </t>
  </si>
  <si>
    <t xml:space="preserve">  400 watts, 50,000 Lumens </t>
  </si>
  <si>
    <t>Service on New Wood Distribution Poles</t>
  </si>
  <si>
    <t>Service on New Metal or Concrete Poles</t>
  </si>
  <si>
    <t>MUNICIPAL WATERWORKS (540)</t>
  </si>
  <si>
    <t>Minimum kWh</t>
  </si>
  <si>
    <t>Minimum kW</t>
  </si>
  <si>
    <t>Tariff</t>
  </si>
  <si>
    <t>RS Total</t>
  </si>
  <si>
    <t>RSLMTOD Total</t>
  </si>
  <si>
    <t>OL Total</t>
  </si>
  <si>
    <t>SGS Metered Total</t>
  </si>
  <si>
    <t>SGS NM Total</t>
  </si>
  <si>
    <t>MGSLMTOD (223)</t>
  </si>
  <si>
    <t>MGSTOD (229)</t>
  </si>
  <si>
    <t>MGS Pri Total</t>
  </si>
  <si>
    <t>MGS Sub (236)</t>
  </si>
  <si>
    <t>LGS Sec Total</t>
  </si>
  <si>
    <t>LGSLMTOD (251)</t>
  </si>
  <si>
    <t>LGS Pri Total</t>
  </si>
  <si>
    <t>LGS Sub (248)</t>
  </si>
  <si>
    <t>SL (528)</t>
  </si>
  <si>
    <t>MW (540)</t>
  </si>
  <si>
    <t>Difference</t>
  </si>
  <si>
    <t>%</t>
  </si>
  <si>
    <t xml:space="preserve">  All kWh</t>
  </si>
  <si>
    <t>RESIDENTIAL LOAD MANAGEMENT TIME-OF-DAY SERVICE (028, 030, 032, 034)</t>
  </si>
  <si>
    <t>RESIDENTIAL TIME-OF-DAY SERVICE (036)</t>
  </si>
  <si>
    <t>RSTOD Total</t>
  </si>
  <si>
    <t>MEDIUM GENERAL SERVICE - SECONDARY (215, 216, 218)</t>
  </si>
  <si>
    <t xml:space="preserve">  Metered Voltage Adj.</t>
  </si>
  <si>
    <t>Excess kVA</t>
  </si>
  <si>
    <t>Metered Voltage Adj.</t>
  </si>
  <si>
    <t>LARGE GENERAL SERVICE LOAD MANAGEMENT TIME-OF-DAY (251)</t>
  </si>
  <si>
    <t xml:space="preserve">  Maximum</t>
  </si>
  <si>
    <t>MGS Sec Total</t>
  </si>
  <si>
    <t>SGSLMTOD (225)</t>
  </si>
  <si>
    <t>SMALL GENERAL SERVICE LOAD MANAGEMENT TIME-OF-DAY (225)</t>
  </si>
  <si>
    <t>MEDIUM GENERAL SERVICE LOAD MANAGEMENT TIME-OF-DAY (223)</t>
  </si>
  <si>
    <t>Rate Design</t>
  </si>
  <si>
    <t xml:space="preserve">  On-Peak - Summer</t>
  </si>
  <si>
    <t xml:space="preserve">  On-Peak - Winter</t>
  </si>
  <si>
    <t>LARGE GENERAL SERVICE - TRANSMISSION (250)</t>
  </si>
  <si>
    <t>PROFORMA</t>
  </si>
  <si>
    <t xml:space="preserve">  250 watts, 28,000 Lumens (120)</t>
  </si>
  <si>
    <t>OUTDOOR LIGHTING (093, 094, 095, 097, 098, 099, 107, 109, 110, 111, 113, 116, 120, 122, 131)</t>
  </si>
  <si>
    <t>High Pressure Sodium - Floodlight, existing pole</t>
  </si>
  <si>
    <t>Metal Halide - Floodlight, existing pole</t>
  </si>
  <si>
    <t>Metal Halide - Mongoose Light, existing pole</t>
  </si>
  <si>
    <t xml:space="preserve">  250 watts, 28,000 Lumens (103)</t>
  </si>
  <si>
    <t>High Pressure Sodium - PT - UG Circuit</t>
  </si>
  <si>
    <t>High Pressure Sodium - Shoebox with Decorative Pole</t>
  </si>
  <si>
    <t>Mercury Vapor - PT - UG Circuit</t>
  </si>
  <si>
    <t xml:space="preserve">  100 watts, 9,500 Lumens (121)</t>
  </si>
  <si>
    <t xml:space="preserve">  400 watts, 50,000 Lumens (126)</t>
  </si>
  <si>
    <t xml:space="preserve">  250 watts, 20,500 Lumens (130)</t>
  </si>
  <si>
    <t xml:space="preserve">  400 watts, 36,000 Lumens (136)</t>
  </si>
  <si>
    <t>LGS Tran (250)</t>
  </si>
  <si>
    <t>This sheet contains data from the rate design process.</t>
  </si>
  <si>
    <t xml:space="preserve">It is set up to identify revenue differences between Class Cost of Service Study and the application of </t>
  </si>
  <si>
    <t>new rates to the test year billing determinants</t>
  </si>
  <si>
    <t>Calculated</t>
  </si>
  <si>
    <t>Tariff Sheet</t>
  </si>
  <si>
    <t>Base Revs</t>
  </si>
  <si>
    <t>Subtotal</t>
  </si>
  <si>
    <t>CCOS Revenue</t>
  </si>
  <si>
    <t>Variance</t>
  </si>
  <si>
    <t>RS</t>
  </si>
  <si>
    <t>Total Residential</t>
  </si>
  <si>
    <t>MGS</t>
  </si>
  <si>
    <t>LGS</t>
  </si>
  <si>
    <t>SL</t>
  </si>
  <si>
    <t>RS TOD</t>
  </si>
  <si>
    <t>RS LM TOD</t>
  </si>
  <si>
    <t>SGS Metered</t>
  </si>
  <si>
    <t>SGS LM TOD</t>
  </si>
  <si>
    <t>SGS EXP TOD</t>
  </si>
  <si>
    <t>SGS NM</t>
  </si>
  <si>
    <t>Total SGS</t>
  </si>
  <si>
    <t>QP</t>
  </si>
  <si>
    <t>MW</t>
  </si>
  <si>
    <t>CIP TOD</t>
  </si>
  <si>
    <t>MGS RL</t>
  </si>
  <si>
    <t>MGS SEC</t>
  </si>
  <si>
    <t>MGS LM TOD</t>
  </si>
  <si>
    <t>MGS TOD</t>
  </si>
  <si>
    <t>MGS PRI</t>
  </si>
  <si>
    <t>MGS SUB</t>
  </si>
  <si>
    <t>LGS SEC</t>
  </si>
  <si>
    <t>LGS LM TOD</t>
  </si>
  <si>
    <t>LGS PRI</t>
  </si>
  <si>
    <t>LGS SUB</t>
  </si>
  <si>
    <t>LGS TRAN</t>
  </si>
  <si>
    <t>QP SEC</t>
  </si>
  <si>
    <t>QP PRI</t>
  </si>
  <si>
    <t>QP SUB</t>
  </si>
  <si>
    <t>QP TRAN</t>
  </si>
  <si>
    <t>CIP TOD SUB</t>
  </si>
  <si>
    <t>CIP TOD TRAN</t>
  </si>
  <si>
    <t>Rider</t>
  </si>
  <si>
    <t>Current Base*</t>
  </si>
  <si>
    <t>ATR</t>
  </si>
  <si>
    <t>Current Total</t>
  </si>
  <si>
    <t>Proposed Base**</t>
  </si>
  <si>
    <t>Base Increase</t>
  </si>
  <si>
    <t>% Increase</t>
  </si>
  <si>
    <t>Proposed Total</t>
  </si>
  <si>
    <t>Economic Development Rider</t>
  </si>
  <si>
    <t>PROFORMA SUMMARY WITH PROPOSED RIDERS</t>
  </si>
  <si>
    <t>HEAP Charge</t>
  </si>
  <si>
    <t>Big Sandy Retirement Rider</t>
  </si>
  <si>
    <t>Big Sandy 1 Operations Rider</t>
  </si>
  <si>
    <t>Big Sandy 1 Operations Rider - Energy</t>
  </si>
  <si>
    <t>Big Sandy 1 Operations Rider - Demand</t>
  </si>
  <si>
    <t>* Current Base includes both Base Revenues and Current Annualized FAC</t>
  </si>
  <si>
    <t>**  Proposed Base includes Base Revenues, ATR and FAC</t>
  </si>
  <si>
    <t>Embedded (Base) Fuel</t>
  </si>
  <si>
    <t>Revenue Before % Surcharges</t>
  </si>
  <si>
    <t>Res</t>
  </si>
  <si>
    <t>C&amp;I</t>
  </si>
  <si>
    <t>Non-Fuel C&amp;I Revenue Before % Surcharges</t>
  </si>
  <si>
    <t>C&amp;I Fuel Revenue</t>
  </si>
  <si>
    <t>Number of</t>
  </si>
  <si>
    <t>Customers</t>
  </si>
  <si>
    <t>Residential</t>
  </si>
  <si>
    <t>OL</t>
  </si>
  <si>
    <t>SGS</t>
  </si>
  <si>
    <t>IGS</t>
  </si>
  <si>
    <t>Going Level</t>
  </si>
  <si>
    <t>Rates</t>
  </si>
  <si>
    <t>Non-ATR</t>
  </si>
  <si>
    <t>BS1OR</t>
  </si>
  <si>
    <t>Non %</t>
  </si>
  <si>
    <t>BS1RR+Env</t>
  </si>
  <si>
    <t>Metered</t>
  </si>
  <si>
    <t>Bill</t>
  </si>
  <si>
    <t>kWh</t>
  </si>
  <si>
    <t>Surcharge</t>
  </si>
  <si>
    <t>Energy</t>
  </si>
  <si>
    <t>Increase</t>
  </si>
  <si>
    <t>Change</t>
  </si>
  <si>
    <t>Customer</t>
  </si>
  <si>
    <t>Base Bill</t>
  </si>
  <si>
    <t>HEAP</t>
  </si>
  <si>
    <t>DSM</t>
  </si>
  <si>
    <t>FAC</t>
  </si>
  <si>
    <t>Capacity</t>
  </si>
  <si>
    <t>Total $</t>
  </si>
  <si>
    <t>BS1RR</t>
  </si>
  <si>
    <t>Env. Srchg</t>
  </si>
  <si>
    <t>Settlement</t>
  </si>
  <si>
    <t>Version 1</t>
  </si>
  <si>
    <t>Separate Meter Charge</t>
  </si>
  <si>
    <t>standard</t>
  </si>
  <si>
    <t>SCHOOL SERVICE - SECONDARY</t>
  </si>
  <si>
    <t>SCHOOL SERVICE - PRIMARY</t>
  </si>
  <si>
    <t>SCHOOL SEC</t>
  </si>
  <si>
    <t>SCHOOL PRI</t>
  </si>
  <si>
    <t>SCHOOL</t>
  </si>
  <si>
    <t>SCHOOL Sec</t>
  </si>
  <si>
    <t>SCHOOL Pri</t>
  </si>
  <si>
    <t>Schools</t>
  </si>
  <si>
    <t>As Settled</t>
  </si>
  <si>
    <t>As Filed</t>
  </si>
  <si>
    <t>CIP-TOD</t>
  </si>
  <si>
    <t>Base</t>
  </si>
  <si>
    <t>Reduction</t>
  </si>
  <si>
    <t>Base Rate</t>
  </si>
  <si>
    <t>Decrease</t>
  </si>
  <si>
    <t>Exhibit 1</t>
  </si>
  <si>
    <t>Net</t>
  </si>
  <si>
    <t>ROR %</t>
  </si>
  <si>
    <t>Surcharges $/mth or $/kwh</t>
  </si>
  <si>
    <t>Surcharges $/MWh or $/kwh</t>
  </si>
  <si>
    <t>KEDS</t>
  </si>
  <si>
    <t>*</t>
  </si>
  <si>
    <t>* Schools part of LGS class in cost-of-service study, separate rate of return is not available</t>
  </si>
  <si>
    <t>** Customers included in count for tariff of main (non-lighting) account</t>
  </si>
  <si>
    <t>INDUSTRIAL GENERAL SERVICE - SECONDARY (356)</t>
  </si>
  <si>
    <t>INDUSTRIAL GENERAL SERVICE - PRIMARY (358)</t>
  </si>
  <si>
    <t xml:space="preserve"> INDUSTRIAL GENERAL SERVICE - SUBTRANSMISSION (359, 371)</t>
  </si>
  <si>
    <t xml:space="preserve"> INDUSTRIAL GENERAL SERVICE - TRANSMISSION (360, 372)</t>
  </si>
  <si>
    <t>LARGE GENERAL SERVICE SECONDARY TIME-OF-DAY (256)</t>
  </si>
  <si>
    <t xml:space="preserve">IGS Sec </t>
  </si>
  <si>
    <t xml:space="preserve">IGS Pri </t>
  </si>
  <si>
    <t xml:space="preserve">IGS Sub </t>
  </si>
  <si>
    <t xml:space="preserve">IGS Tran </t>
  </si>
  <si>
    <t>Purchased Power Adjustment</t>
  </si>
  <si>
    <t>Sub Total</t>
  </si>
  <si>
    <t>Total Revenue</t>
  </si>
  <si>
    <t xml:space="preserve">Purchase Power Adjustment </t>
  </si>
  <si>
    <t xml:space="preserve">Sub Total </t>
  </si>
  <si>
    <t xml:space="preserve">Enviromental Surcharge </t>
  </si>
  <si>
    <t>Purchase Power Adjustment</t>
  </si>
  <si>
    <t xml:space="preserve">Economic Development Charge </t>
  </si>
  <si>
    <t>Employee Cust Charge</t>
  </si>
  <si>
    <t>Green Power Rider</t>
  </si>
  <si>
    <t>Employee Customer Charge</t>
  </si>
  <si>
    <t>MGS AF (214)</t>
  </si>
  <si>
    <t>LGS Sec TOD (256)</t>
  </si>
  <si>
    <t>LGS SEC TOD</t>
  </si>
  <si>
    <t>HEAP and</t>
  </si>
  <si>
    <t>Economic</t>
  </si>
  <si>
    <t>Development</t>
  </si>
  <si>
    <t>Environmental</t>
  </si>
  <si>
    <t>Base Revenue</t>
  </si>
  <si>
    <t>Incremental Environmental Surcharge</t>
  </si>
  <si>
    <t>Incremental</t>
  </si>
  <si>
    <t>CS-IRP Demand Credit</t>
  </si>
  <si>
    <t xml:space="preserve">  First 4,450 kWh</t>
  </si>
  <si>
    <t xml:space="preserve">  Over 4,450 kWh</t>
  </si>
  <si>
    <t>Incremental Environmental Surcharge (new ECP)</t>
  </si>
  <si>
    <t>Incremental Environmental Surcharge (ECP)</t>
  </si>
  <si>
    <t>Incremental Environmental Surcharge (new ECR)</t>
  </si>
  <si>
    <t>Incremental Environmental Surcharge (ECR)</t>
  </si>
  <si>
    <t>Incremental Environmental Surcharge (new ECM)</t>
  </si>
  <si>
    <t>SMALL GENERAL SERVICE TIME-OF-DAY (227)</t>
  </si>
  <si>
    <t>Billing kW greater than 10 kW</t>
  </si>
  <si>
    <t>First 10 kW</t>
  </si>
  <si>
    <t>SGSTOD (227)</t>
  </si>
  <si>
    <t>.</t>
  </si>
  <si>
    <t>GS Total</t>
  </si>
  <si>
    <t>IGS Sec</t>
  </si>
  <si>
    <t>IGS Pri</t>
  </si>
  <si>
    <t>IGS Sub</t>
  </si>
  <si>
    <t>IGS Tran</t>
  </si>
  <si>
    <t>LGS TOD</t>
  </si>
  <si>
    <t>Remove this column</t>
  </si>
  <si>
    <t>Proforma Rates and Revenues</t>
  </si>
  <si>
    <t>Economic Development Surcharge</t>
  </si>
  <si>
    <t xml:space="preserve">HEAP and </t>
  </si>
  <si>
    <t>Econ Developm</t>
  </si>
  <si>
    <t xml:space="preserve">Incremental </t>
  </si>
  <si>
    <t>Base Rate COS Increase</t>
  </si>
  <si>
    <t>HEAP Increase</t>
  </si>
  <si>
    <t>KEDS Increase</t>
  </si>
  <si>
    <t>Rate Design Revenue Increase</t>
  </si>
  <si>
    <t>Surcharge (ECP)</t>
  </si>
  <si>
    <t>Proforma Total</t>
  </si>
  <si>
    <t>rate design rounding difference - proof on Reconciliation tab</t>
  </si>
  <si>
    <t>Year End</t>
  </si>
  <si>
    <t>Weather</t>
  </si>
  <si>
    <t xml:space="preserve">Year End </t>
  </si>
  <si>
    <t>Per Books</t>
  </si>
  <si>
    <t>Without HEAP and</t>
  </si>
  <si>
    <t>Without</t>
  </si>
  <si>
    <t>With</t>
  </si>
  <si>
    <t>Migration</t>
  </si>
  <si>
    <t>Normalization</t>
  </si>
  <si>
    <t>Economic Development</t>
  </si>
  <si>
    <t>System Sales</t>
  </si>
  <si>
    <t>Capacity Charge</t>
  </si>
  <si>
    <t>Env. Surcharge</t>
  </si>
  <si>
    <t>BSRR Surcharge</t>
  </si>
  <si>
    <t>Annualized Fuel</t>
  </si>
  <si>
    <t>Revenues</t>
  </si>
  <si>
    <t>RS TOD Total</t>
  </si>
  <si>
    <t>Residential Total</t>
  </si>
  <si>
    <t>SGS TOD</t>
  </si>
  <si>
    <t>SGS Total</t>
  </si>
  <si>
    <t>MGS Sec</t>
  </si>
  <si>
    <t>MGS Total</t>
  </si>
  <si>
    <t>LGSSECTOD (256)</t>
  </si>
  <si>
    <t>LGS Total</t>
  </si>
  <si>
    <t>PS Sec (260)</t>
  </si>
  <si>
    <t>PS Pri (264)</t>
  </si>
  <si>
    <t>PS Total</t>
  </si>
  <si>
    <t>CS IRP Tran (321)</t>
  </si>
  <si>
    <t>CS IRP Sub (331)</t>
  </si>
  <si>
    <t>IGS Sec (356)</t>
  </si>
  <si>
    <t>IGS Pri (358)</t>
  </si>
  <si>
    <t>IGS Sub Total (359,371)</t>
  </si>
  <si>
    <t>IGS Tran Total (360,372)</t>
  </si>
  <si>
    <t>IGS Total</t>
  </si>
  <si>
    <t>TEST YEAR ENDED FEBRUARY 28, 2017</t>
  </si>
  <si>
    <t>COS Rev</t>
  </si>
  <si>
    <t xml:space="preserve">Base </t>
  </si>
  <si>
    <t>% Difference</t>
  </si>
  <si>
    <t>CURRENT REVENUE SUMMARY SHEET</t>
  </si>
  <si>
    <t>Test Year</t>
  </si>
  <si>
    <t>Increase %</t>
  </si>
  <si>
    <t>Adjusted Current</t>
  </si>
  <si>
    <t>MGS RL (214)</t>
  </si>
  <si>
    <t>Service Charge</t>
  </si>
  <si>
    <t>Reactive Demand</t>
  </si>
  <si>
    <t>Lamp Charge</t>
  </si>
  <si>
    <t>Incremental Enviro Surcharge</t>
  </si>
  <si>
    <t>on peak</t>
  </si>
  <si>
    <t>off peak</t>
  </si>
  <si>
    <t>Sep Meter Charge</t>
  </si>
  <si>
    <t>Minimum</t>
  </si>
  <si>
    <t>kW Demand</t>
  </si>
  <si>
    <t>all other</t>
  </si>
  <si>
    <t>residential</t>
  </si>
  <si>
    <t>Tariff                 Class</t>
  </si>
  <si>
    <t xml:space="preserve">General Rate Increase* </t>
  </si>
  <si>
    <t>General Rate Increase With Environmental Compliance Plan</t>
  </si>
  <si>
    <t>Customer  Classification</t>
  </si>
  <si>
    <t>Current        Revenue</t>
  </si>
  <si>
    <t>Proposed      Revenue</t>
  </si>
  <si>
    <t>Proposed  Increase</t>
  </si>
  <si>
    <t>INCREMENTAL</t>
  </si>
  <si>
    <t>Percent    Change</t>
  </si>
  <si>
    <t>ECP Amount</t>
  </si>
  <si>
    <t>Proposed    Increase</t>
  </si>
  <si>
    <t>HEAP/KEDS</t>
  </si>
  <si>
    <t>SGS-TOD</t>
  </si>
  <si>
    <t>MGS-TOD</t>
  </si>
  <si>
    <t>GS**</t>
  </si>
  <si>
    <t>GS</t>
  </si>
  <si>
    <t xml:space="preserve"> </t>
  </si>
  <si>
    <t>LGS-Schools***</t>
  </si>
  <si>
    <t>LGS-Schools</t>
  </si>
  <si>
    <t>CATV  2 User</t>
  </si>
  <si>
    <t>CATV  3 User</t>
  </si>
  <si>
    <t>COGEN/SSP I</t>
  </si>
  <si>
    <t>N/A</t>
  </si>
  <si>
    <t>COGEN/SPP II</t>
  </si>
  <si>
    <t>* Includes Base Rate Increase and Increase for KEDS and HEAP.</t>
  </si>
  <si>
    <t xml:space="preserve">* The Company is proposing to add the new tariff General Service (GS) as a combination of SGS &amp; MGS.  The proposed average billing combines SGS and MGS.  </t>
  </si>
  <si>
    <t>** For purposes of this analysis, customers previously on the Pilot K-12 Schools Tariff have been moved to  Tariff LGS.</t>
  </si>
  <si>
    <t>sgs tot</t>
  </si>
  <si>
    <t>mgs tot</t>
  </si>
  <si>
    <t xml:space="preserve"> Same as SGS LMTOD </t>
  </si>
  <si>
    <t>Exhibit AEV-3S</t>
  </si>
  <si>
    <t>SETTLEMENT PROFORMA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</si>
</sst>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&quot;$&quot;#,##0.00"/>
    <numFmt numFmtId="166" formatCode="&quot;$&quot;#,##0.0000000_);\(&quot;$&quot;#,##0.0000000\)"/>
    <numFmt numFmtId="167" formatCode="&quot;$&quot;#,##0"/>
    <numFmt numFmtId="168" formatCode="_(* #,##0_);_(* \(#,##0\);_(* &quot;-&quot;??_);_(@_)"/>
    <numFmt numFmtId="169" formatCode="&quot;$&quot;#,##0.00000_);\(&quot;$&quot;#,##0.00000\)"/>
    <numFmt numFmtId="170" formatCode="0.0000%"/>
    <numFmt numFmtId="171" formatCode="0.0%"/>
    <numFmt numFmtId="172" formatCode="0.000000"/>
    <numFmt numFmtId="173" formatCode="#,##0.00000"/>
    <numFmt numFmtId="174" formatCode="#,##0.000000"/>
    <numFmt numFmtId="175" formatCode="0.0000000"/>
    <numFmt numFmtId="176" formatCode="0.000%"/>
    <numFmt numFmtId="177" formatCode="&quot;$&quot;#,##0.0000_);\(&quot;$&quot;#,##0.0000\)"/>
    <numFmt numFmtId="178" formatCode="_(&quot;$&quot;* #,##0_);_(&quot;$&quot;* \(#,##0\);_(&quot;$&quot;* &quot;-&quot;??_);_(@_)"/>
    <numFmt numFmtId="179" formatCode="#,##0.0_);\(#,##0.0\)"/>
    <numFmt numFmtId="180" formatCode="_(* #,##0.0_);_(* \(#,##0.0\);&quot;&quot;;_(@_)"/>
    <numFmt numFmtId="181" formatCode="[Blue]#,##0,_);[Red]\(#,##0,\)"/>
    <numFmt numFmtId="182" formatCode="_(&quot;$&quot;* #,##0.00000_);_(&quot;$&quot;* \(#,##0.00000\);_(&quot;$&quot;* &quot;-&quot;??_);_(@_)"/>
    <numFmt numFmtId="183" formatCode="0.00000%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G Times"/>
    </font>
    <font>
      <sz val="10"/>
      <color indexed="12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5EA4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10"/>
      <color indexed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b/>
      <u/>
      <sz val="10"/>
      <name val="Arial"/>
      <family val="2"/>
    </font>
    <font>
      <sz val="10"/>
      <name val="Arial MT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</fonts>
  <fills count="6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74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3" fontId="10" fillId="0" borderId="0"/>
    <xf numFmtId="3" fontId="10" fillId="0" borderId="0"/>
    <xf numFmtId="3" fontId="10" fillId="0" borderId="0"/>
    <xf numFmtId="0" fontId="12" fillId="0" borderId="0"/>
    <xf numFmtId="0" fontId="10" fillId="0" borderId="0"/>
    <xf numFmtId="9" fontId="3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4" fillId="0" borderId="1">
      <alignment horizontal="center"/>
    </xf>
    <xf numFmtId="3" fontId="13" fillId="0" borderId="0" applyFont="0" applyFill="0" applyBorder="0" applyAlignment="0" applyProtection="0"/>
    <xf numFmtId="0" fontId="13" fillId="2" borderId="0" applyNumberFormat="0" applyFont="0" applyBorder="0" applyAlignment="0" applyProtection="0"/>
    <xf numFmtId="44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10" applyNumberFormat="0" applyAlignment="0" applyProtection="0"/>
    <xf numFmtId="0" fontId="32" fillId="9" borderId="11" applyNumberFormat="0" applyAlignment="0" applyProtection="0"/>
    <xf numFmtId="0" fontId="33" fillId="9" borderId="10" applyNumberFormat="0" applyAlignment="0" applyProtection="0"/>
    <xf numFmtId="0" fontId="34" fillId="0" borderId="12" applyNumberFormat="0" applyFill="0" applyAlignment="0" applyProtection="0"/>
    <xf numFmtId="0" fontId="35" fillId="10" borderId="1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9" fillId="35" borderId="0" applyNumberFormat="0" applyBorder="0" applyAlignment="0" applyProtection="0"/>
    <xf numFmtId="0" fontId="3" fillId="0" borderId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53" borderId="0" applyNumberFormat="0" applyBorder="0" applyAlignment="0" applyProtection="0"/>
    <xf numFmtId="0" fontId="42" fillId="37" borderId="0" applyNumberFormat="0" applyBorder="0" applyAlignment="0" applyProtection="0"/>
    <xf numFmtId="0" fontId="43" fillId="54" borderId="16" applyNumberFormat="0" applyAlignment="0" applyProtection="0"/>
    <xf numFmtId="0" fontId="44" fillId="55" borderId="1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38" borderId="0" applyNumberFormat="0" applyBorder="0" applyAlignment="0" applyProtection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50" fillId="41" borderId="16" applyNumberFormat="0" applyAlignment="0" applyProtection="0"/>
    <xf numFmtId="0" fontId="51" fillId="0" borderId="21" applyNumberFormat="0" applyFill="0" applyAlignment="0" applyProtection="0"/>
    <xf numFmtId="0" fontId="52" fillId="56" borderId="0" applyNumberFormat="0" applyBorder="0" applyAlignment="0" applyProtection="0"/>
    <xf numFmtId="37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2" fillId="0" borderId="0"/>
    <xf numFmtId="0" fontId="3" fillId="0" borderId="0"/>
    <xf numFmtId="0" fontId="3" fillId="0" borderId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53" fillId="54" borderId="2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5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3" fillId="0" borderId="0" applyNumberFormat="0" applyFont="0" applyFill="0" applyBorder="0" applyAlignment="0" applyProtection="0">
      <alignment horizontal="left"/>
    </xf>
    <xf numFmtId="44" fontId="3" fillId="0" borderId="0" applyFont="0" applyFill="0" applyBorder="0" applyAlignment="0" applyProtection="0"/>
    <xf numFmtId="0" fontId="13" fillId="0" borderId="0"/>
    <xf numFmtId="4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14" fillId="0" borderId="1">
      <alignment horizontal="center"/>
    </xf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8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2" borderId="0" applyNumberFormat="0" applyFont="0" applyBorder="0" applyAlignment="0" applyProtection="0"/>
    <xf numFmtId="0" fontId="2" fillId="0" borderId="0"/>
    <xf numFmtId="0" fontId="2" fillId="11" borderId="14" applyNumberFormat="0" applyFont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1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7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2" fillId="0" borderId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0" fontId="13" fillId="0" borderId="0"/>
    <xf numFmtId="4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0" fontId="3" fillId="57" borderId="2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" fillId="11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4" applyNumberFormat="0" applyFont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1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1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14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1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14" applyNumberFormat="0" applyFont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2" fillId="11" borderId="1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14" applyNumberFormat="0" applyFont="0" applyAlignment="0" applyProtection="0"/>
    <xf numFmtId="44" fontId="2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3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37" fontId="12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3" fillId="0" borderId="0"/>
    <xf numFmtId="0" fontId="59" fillId="0" borderId="0"/>
    <xf numFmtId="0" fontId="1" fillId="0" borderId="0"/>
    <xf numFmtId="0" fontId="1" fillId="0" borderId="0"/>
    <xf numFmtId="0" fontId="3" fillId="0" borderId="0"/>
    <xf numFmtId="0" fontId="59" fillId="0" borderId="0"/>
    <xf numFmtId="0" fontId="57" fillId="0" borderId="0" applyNumberFormat="0" applyFill="0" applyBorder="0" applyAlignment="0" applyProtection="0"/>
    <xf numFmtId="0" fontId="59" fillId="0" borderId="0"/>
    <xf numFmtId="0" fontId="59" fillId="0" borderId="0"/>
    <xf numFmtId="0" fontId="1" fillId="11" borderId="14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2" fillId="36" borderId="0" applyNumberFormat="0" applyBorder="0" applyAlignment="0" applyProtection="0"/>
    <xf numFmtId="0" fontId="6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2" fillId="3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2" fillId="38" borderId="0" applyNumberFormat="0" applyBorder="0" applyAlignment="0" applyProtection="0"/>
    <xf numFmtId="0" fontId="6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2" fillId="39" borderId="0" applyNumberFormat="0" applyBorder="0" applyAlignment="0" applyProtection="0"/>
    <xf numFmtId="0" fontId="6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62" fillId="40" borderId="0" applyNumberFormat="0" applyBorder="0" applyAlignment="0" applyProtection="0"/>
    <xf numFmtId="0" fontId="4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2" fillId="41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60" fillId="59" borderId="0" applyNumberFormat="0" applyBorder="0" applyAlignment="0" applyProtection="0"/>
    <xf numFmtId="0" fontId="60" fillId="59" borderId="0" applyNumberFormat="0" applyBorder="0" applyAlignment="0" applyProtection="0"/>
    <xf numFmtId="0" fontId="60" fillId="59" borderId="0" applyNumberFormat="0" applyBorder="0" applyAlignment="0" applyProtection="0"/>
    <xf numFmtId="0" fontId="62" fillId="42" borderId="0" applyNumberFormat="0" applyBorder="0" applyAlignment="0" applyProtection="0"/>
    <xf numFmtId="0" fontId="6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2" fillId="43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2" fillId="44" borderId="0" applyNumberFormat="0" applyBorder="0" applyAlignment="0" applyProtection="0"/>
    <xf numFmtId="0" fontId="6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60" fillId="59" borderId="0" applyNumberFormat="0" applyBorder="0" applyAlignment="0" applyProtection="0"/>
    <xf numFmtId="0" fontId="60" fillId="59" borderId="0" applyNumberFormat="0" applyBorder="0" applyAlignment="0" applyProtection="0"/>
    <xf numFmtId="0" fontId="60" fillId="59" borderId="0" applyNumberFormat="0" applyBorder="0" applyAlignment="0" applyProtection="0"/>
    <xf numFmtId="0" fontId="62" fillId="39" borderId="0" applyNumberFormat="0" applyBorder="0" applyAlignment="0" applyProtection="0"/>
    <xf numFmtId="0" fontId="6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2" fillId="42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2" fillId="45" borderId="0" applyNumberFormat="0" applyBorder="0" applyAlignment="0" applyProtection="0"/>
    <xf numFmtId="0" fontId="60" fillId="45" borderId="0" applyNumberFormat="0" applyBorder="0" applyAlignment="0" applyProtection="0"/>
    <xf numFmtId="0" fontId="40" fillId="45" borderId="0" applyNumberFormat="0" applyBorder="0" applyAlignment="0" applyProtection="0"/>
    <xf numFmtId="0" fontId="41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4" fillId="46" borderId="0" applyNumberFormat="0" applyBorder="0" applyAlignment="0" applyProtection="0"/>
    <xf numFmtId="0" fontId="63" fillId="46" borderId="0" applyNumberFormat="0" applyBorder="0" applyAlignment="0" applyProtection="0"/>
    <xf numFmtId="0" fontId="41" fillId="46" borderId="0" applyNumberFormat="0" applyBorder="0" applyAlignment="0" applyProtection="0"/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64" fillId="43" borderId="0" applyNumberFormat="0" applyBorder="0" applyAlignment="0" applyProtection="0"/>
    <xf numFmtId="0" fontId="41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4" fillId="44" borderId="0" applyNumberFormat="0" applyBorder="0" applyAlignment="0" applyProtection="0"/>
    <xf numFmtId="0" fontId="63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59" borderId="0" applyNumberFormat="0" applyBorder="0" applyAlignment="0" applyProtection="0"/>
    <xf numFmtId="0" fontId="63" fillId="59" borderId="0" applyNumberFormat="0" applyBorder="0" applyAlignment="0" applyProtection="0"/>
    <xf numFmtId="0" fontId="63" fillId="59" borderId="0" applyNumberFormat="0" applyBorder="0" applyAlignment="0" applyProtection="0"/>
    <xf numFmtId="0" fontId="63" fillId="59" borderId="0" applyNumberFormat="0" applyBorder="0" applyAlignment="0" applyProtection="0"/>
    <xf numFmtId="0" fontId="64" fillId="47" borderId="0" applyNumberFormat="0" applyBorder="0" applyAlignment="0" applyProtection="0"/>
    <xf numFmtId="0" fontId="63" fillId="47" borderId="0" applyNumberFormat="0" applyBorder="0" applyAlignment="0" applyProtection="0"/>
    <xf numFmtId="0" fontId="41" fillId="47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4" fillId="48" borderId="0" applyNumberFormat="0" applyBorder="0" applyAlignment="0" applyProtection="0"/>
    <xf numFmtId="0" fontId="41" fillId="43" borderId="0" applyNumberFormat="0" applyBorder="0" applyAlignment="0" applyProtection="0"/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63" fillId="43" borderId="0" applyNumberFormat="0" applyBorder="0" applyAlignment="0" applyProtection="0"/>
    <xf numFmtId="0" fontId="64" fillId="49" borderId="0" applyNumberFormat="0" applyBorder="0" applyAlignment="0" applyProtection="0"/>
    <xf numFmtId="0" fontId="63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4" fillId="50" borderId="0" applyNumberFormat="0" applyBorder="0" applyAlignment="0" applyProtection="0"/>
    <xf numFmtId="0" fontId="63" fillId="50" borderId="0" applyNumberFormat="0" applyBorder="0" applyAlignment="0" applyProtection="0"/>
    <xf numFmtId="0" fontId="41" fillId="50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4" fillId="51" borderId="0" applyNumberFormat="0" applyBorder="0" applyAlignment="0" applyProtection="0"/>
    <xf numFmtId="0" fontId="63" fillId="52" borderId="0" applyNumberFormat="0" applyBorder="0" applyAlignment="0" applyProtection="0"/>
    <xf numFmtId="0" fontId="63" fillId="52" borderId="0" applyNumberFormat="0" applyBorder="0" applyAlignment="0" applyProtection="0"/>
    <xf numFmtId="0" fontId="63" fillId="52" borderId="0" applyNumberFormat="0" applyBorder="0" applyAlignment="0" applyProtection="0"/>
    <xf numFmtId="0" fontId="64" fillId="52" borderId="0" applyNumberFormat="0" applyBorder="0" applyAlignment="0" applyProtection="0"/>
    <xf numFmtId="0" fontId="41" fillId="6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64" fillId="47" borderId="0" applyNumberFormat="0" applyBorder="0" applyAlignment="0" applyProtection="0"/>
    <xf numFmtId="0" fontId="63" fillId="47" borderId="0" applyNumberFormat="0" applyBorder="0" applyAlignment="0" applyProtection="0"/>
    <xf numFmtId="0" fontId="41" fillId="47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4" fillId="48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4" fillId="53" borderId="0" applyNumberFormat="0" applyBorder="0" applyAlignment="0" applyProtection="0"/>
    <xf numFmtId="0" fontId="42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6" fillId="37" borderId="0" applyNumberFormat="0" applyBorder="0" applyAlignment="0" applyProtection="0"/>
    <xf numFmtId="0" fontId="65" fillId="37" borderId="0" applyNumberFormat="0" applyBorder="0" applyAlignment="0" applyProtection="0"/>
    <xf numFmtId="0" fontId="42" fillId="37" borderId="0" applyNumberFormat="0" applyBorder="0" applyAlignment="0" applyProtection="0"/>
    <xf numFmtId="0" fontId="67" fillId="54" borderId="16" applyNumberFormat="0" applyAlignment="0" applyProtection="0"/>
    <xf numFmtId="0" fontId="67" fillId="54" borderId="16" applyNumberFormat="0" applyAlignment="0" applyProtection="0"/>
    <xf numFmtId="0" fontId="67" fillId="54" borderId="16" applyNumberFormat="0" applyAlignment="0" applyProtection="0"/>
    <xf numFmtId="0" fontId="68" fillId="54" borderId="16" applyNumberFormat="0" applyAlignment="0" applyProtection="0"/>
    <xf numFmtId="0" fontId="44" fillId="59" borderId="17" applyNumberFormat="0" applyAlignment="0" applyProtection="0"/>
    <xf numFmtId="0" fontId="69" fillId="59" borderId="17" applyNumberFormat="0" applyAlignment="0" applyProtection="0"/>
    <xf numFmtId="0" fontId="69" fillId="59" borderId="17" applyNumberFormat="0" applyAlignment="0" applyProtection="0"/>
    <xf numFmtId="0" fontId="69" fillId="59" borderId="17" applyNumberFormat="0" applyAlignment="0" applyProtection="0"/>
    <xf numFmtId="0" fontId="70" fillId="55" borderId="17" applyNumberFormat="0" applyAlignment="0" applyProtection="0"/>
    <xf numFmtId="0" fontId="69" fillId="55" borderId="17" applyNumberFormat="0" applyAlignment="0" applyProtection="0"/>
    <xf numFmtId="0" fontId="44" fillId="55" borderId="17" applyNumberFormat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1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5" fillId="38" borderId="0" applyNumberFormat="0" applyBorder="0" applyAlignment="0" applyProtection="0"/>
    <xf numFmtId="0" fontId="76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8" fillId="0" borderId="18" applyNumberFormat="0" applyFill="0" applyAlignment="0" applyProtection="0"/>
    <xf numFmtId="0" fontId="79" fillId="0" borderId="18" applyNumberFormat="0" applyFill="0" applyAlignment="0" applyProtection="0"/>
    <xf numFmtId="0" fontId="47" fillId="0" borderId="18" applyNumberFormat="0" applyFill="0" applyAlignment="0" applyProtection="0"/>
    <xf numFmtId="0" fontId="80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82" fillId="0" borderId="19" applyNumberFormat="0" applyFill="0" applyAlignment="0" applyProtection="0"/>
    <xf numFmtId="0" fontId="83" fillId="0" borderId="19" applyNumberFormat="0" applyFill="0" applyAlignment="0" applyProtection="0"/>
    <xf numFmtId="0" fontId="48" fillId="0" borderId="19" applyNumberFormat="0" applyFill="0" applyAlignment="0" applyProtection="0"/>
    <xf numFmtId="0" fontId="84" fillId="0" borderId="27" applyNumberFormat="0" applyFill="0" applyAlignment="0" applyProtection="0"/>
    <xf numFmtId="0" fontId="85" fillId="0" borderId="27" applyNumberFormat="0" applyFill="0" applyAlignment="0" applyProtection="0"/>
    <xf numFmtId="0" fontId="85" fillId="0" borderId="27" applyNumberFormat="0" applyFill="0" applyAlignment="0" applyProtection="0"/>
    <xf numFmtId="0" fontId="85" fillId="0" borderId="27" applyNumberFormat="0" applyFill="0" applyAlignment="0" applyProtection="0"/>
    <xf numFmtId="0" fontId="86" fillId="0" borderId="20" applyNumberFormat="0" applyFill="0" applyAlignment="0" applyProtection="0"/>
    <xf numFmtId="0" fontId="87" fillId="0" borderId="20" applyNumberFormat="0" applyFill="0" applyAlignment="0" applyProtection="0"/>
    <xf numFmtId="0" fontId="49" fillId="0" borderId="20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8" fillId="41" borderId="16" applyNumberFormat="0" applyAlignment="0" applyProtection="0"/>
    <xf numFmtId="0" fontId="88" fillId="41" borderId="16" applyNumberFormat="0" applyAlignment="0" applyProtection="0"/>
    <xf numFmtId="0" fontId="88" fillId="41" borderId="16" applyNumberFormat="0" applyAlignment="0" applyProtection="0"/>
    <xf numFmtId="0" fontId="89" fillId="41" borderId="16" applyNumberFormat="0" applyAlignment="0" applyProtection="0"/>
    <xf numFmtId="41" fontId="90" fillId="0" borderId="0">
      <alignment horizontal="left"/>
    </xf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0" fontId="93" fillId="56" borderId="0" applyNumberFormat="0" applyBorder="0" applyAlignment="0" applyProtection="0"/>
    <xf numFmtId="0" fontId="93" fillId="56" borderId="0" applyNumberFormat="0" applyBorder="0" applyAlignment="0" applyProtection="0"/>
    <xf numFmtId="0" fontId="93" fillId="56" borderId="0" applyNumberFormat="0" applyBorder="0" applyAlignment="0" applyProtection="0"/>
    <xf numFmtId="0" fontId="94" fillId="56" borderId="0" applyNumberFormat="0" applyBorder="0" applyAlignment="0" applyProtection="0"/>
    <xf numFmtId="0" fontId="16" fillId="0" borderId="0"/>
    <xf numFmtId="0" fontId="61" fillId="0" borderId="0"/>
    <xf numFmtId="37" fontId="12" fillId="0" borderId="0"/>
    <xf numFmtId="0" fontId="12" fillId="0" borderId="0"/>
    <xf numFmtId="0" fontId="13" fillId="0" borderId="0"/>
    <xf numFmtId="0" fontId="1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3" fillId="0" borderId="0"/>
    <xf numFmtId="0" fontId="1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61" fillId="0" borderId="0"/>
    <xf numFmtId="0" fontId="95" fillId="0" borderId="0"/>
    <xf numFmtId="0" fontId="95" fillId="0" borderId="0"/>
    <xf numFmtId="0" fontId="61" fillId="0" borderId="0"/>
    <xf numFmtId="0" fontId="95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57" borderId="22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0" fontId="3" fillId="57" borderId="16" applyNumberFormat="0" applyFont="0" applyAlignment="0" applyProtection="0"/>
    <xf numFmtId="43" fontId="88" fillId="0" borderId="0"/>
    <xf numFmtId="181" fontId="96" fillId="0" borderId="0"/>
    <xf numFmtId="0" fontId="97" fillId="54" borderId="23" applyNumberFormat="0" applyAlignment="0" applyProtection="0"/>
    <xf numFmtId="0" fontId="97" fillId="54" borderId="23" applyNumberFormat="0" applyAlignment="0" applyProtection="0"/>
    <xf numFmtId="0" fontId="97" fillId="54" borderId="23" applyNumberFormat="0" applyAlignment="0" applyProtection="0"/>
    <xf numFmtId="0" fontId="98" fillId="54" borderId="23" applyNumberFormat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0" fontId="13" fillId="0" borderId="0" applyNumberFormat="0" applyFont="0" applyFill="0" applyBorder="0" applyAlignment="0" applyProtection="0">
      <alignment horizontal="left"/>
    </xf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0" fontId="14" fillId="0" borderId="1">
      <alignment horizontal="center"/>
    </xf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2" borderId="0" applyNumberFormat="0" applyFont="0" applyBorder="0" applyAlignment="0" applyProtection="0"/>
    <xf numFmtId="0" fontId="13" fillId="2" borderId="0" applyNumberFormat="0" applyFont="0" applyBorder="0" applyAlignment="0" applyProtection="0"/>
    <xf numFmtId="0" fontId="13" fillId="2" borderId="0" applyNumberFormat="0" applyFont="0" applyBorder="0" applyAlignment="0" applyProtection="0"/>
    <xf numFmtId="0" fontId="13" fillId="2" borderId="0" applyNumberFormat="0" applyFont="0" applyBorder="0" applyAlignment="0" applyProtection="0"/>
    <xf numFmtId="0" fontId="13" fillId="2" borderId="0" applyNumberFormat="0" applyFont="0" applyBorder="0" applyAlignment="0" applyProtection="0"/>
    <xf numFmtId="0" fontId="13" fillId="2" borderId="0" applyNumberFormat="0" applyFont="0" applyBorder="0" applyAlignment="0" applyProtection="0"/>
    <xf numFmtId="0" fontId="13" fillId="2" borderId="0" applyNumberFormat="0" applyFont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8" applyNumberFormat="0" applyFill="0" applyAlignment="0" applyProtection="0"/>
    <xf numFmtId="0" fontId="100" fillId="0" borderId="28" applyNumberFormat="0" applyFill="0" applyAlignment="0" applyProtection="0"/>
    <xf numFmtId="0" fontId="100" fillId="0" borderId="28" applyNumberFormat="0" applyFill="0" applyAlignment="0" applyProtection="0"/>
    <xf numFmtId="0" fontId="100" fillId="0" borderId="28" applyNumberFormat="0" applyFill="0" applyAlignment="0" applyProtection="0"/>
    <xf numFmtId="0" fontId="101" fillId="0" borderId="24" applyNumberFormat="0" applyFill="0" applyAlignment="0" applyProtection="0"/>
    <xf numFmtId="0" fontId="100" fillId="0" borderId="24" applyNumberFormat="0" applyFill="0" applyAlignment="0" applyProtection="0"/>
    <xf numFmtId="0" fontId="55" fillId="0" borderId="24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1" fillId="0" borderId="0"/>
    <xf numFmtId="0" fontId="61" fillId="0" borderId="0"/>
    <xf numFmtId="0" fontId="1" fillId="0" borderId="0"/>
    <xf numFmtId="0" fontId="6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3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/>
    <xf numFmtId="7" fontId="0" fillId="0" borderId="0" xfId="0" applyNumberFormat="1"/>
    <xf numFmtId="166" fontId="0" fillId="0" borderId="0" xfId="0" applyNumberFormat="1" applyAlignment="1">
      <alignment horizontal="center"/>
    </xf>
    <xf numFmtId="5" fontId="0" fillId="0" borderId="0" xfId="0" applyNumberFormat="1"/>
    <xf numFmtId="0" fontId="4" fillId="0" borderId="0" xfId="0" applyFont="1"/>
    <xf numFmtId="10" fontId="0" fillId="0" borderId="0" xfId="9" applyNumberFormat="1" applyFont="1"/>
    <xf numFmtId="166" fontId="0" fillId="0" borderId="0" xfId="0" applyNumberFormat="1" applyAlignment="1"/>
    <xf numFmtId="5" fontId="0" fillId="0" borderId="0" xfId="0" applyNumberFormat="1" applyFill="1"/>
    <xf numFmtId="0" fontId="0" fillId="0" borderId="2" xfId="0" applyBorder="1"/>
    <xf numFmtId="5" fontId="0" fillId="0" borderId="2" xfId="0" applyNumberFormat="1" applyBorder="1"/>
    <xf numFmtId="0" fontId="15" fillId="0" borderId="0" xfId="0" applyFont="1"/>
    <xf numFmtId="0" fontId="0" fillId="0" borderId="0" xfId="0" applyFill="1"/>
    <xf numFmtId="43" fontId="0" fillId="0" borderId="0" xfId="1" applyFont="1"/>
    <xf numFmtId="43" fontId="0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168" fontId="0" fillId="0" borderId="0" xfId="1" applyNumberFormat="1" applyFont="1"/>
    <xf numFmtId="43" fontId="17" fillId="0" borderId="0" xfId="1" applyFont="1" applyAlignment="1"/>
    <xf numFmtId="0" fontId="6" fillId="0" borderId="0" xfId="0" applyFont="1"/>
    <xf numFmtId="0" fontId="7" fillId="0" borderId="0" xfId="0" applyFont="1"/>
    <xf numFmtId="5" fontId="6" fillId="0" borderId="0" xfId="0" applyNumberFormat="1" applyFont="1"/>
    <xf numFmtId="10" fontId="6" fillId="0" borderId="0" xfId="9" applyNumberFormat="1" applyFont="1"/>
    <xf numFmtId="0" fontId="8" fillId="0" borderId="0" xfId="0" applyFont="1"/>
    <xf numFmtId="167" fontId="8" fillId="0" borderId="0" xfId="0" applyNumberFormat="1" applyFont="1"/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167" fontId="11" fillId="0" borderId="0" xfId="3" applyNumberFormat="1" applyFont="1" applyAlignment="1"/>
    <xf numFmtId="167" fontId="8" fillId="0" borderId="0" xfId="3" applyNumberFormat="1" applyFont="1" applyAlignment="1"/>
    <xf numFmtId="167" fontId="8" fillId="0" borderId="2" xfId="0" applyNumberFormat="1" applyFont="1" applyBorder="1"/>
    <xf numFmtId="167" fontId="8" fillId="0" borderId="2" xfId="3" applyNumberFormat="1" applyFont="1" applyBorder="1" applyAlignment="1"/>
    <xf numFmtId="167" fontId="0" fillId="0" borderId="2" xfId="0" applyNumberFormat="1" applyBorder="1"/>
    <xf numFmtId="167" fontId="11" fillId="0" borderId="0" xfId="0" applyNumberFormat="1" applyFont="1"/>
    <xf numFmtId="167" fontId="11" fillId="0" borderId="0" xfId="7" applyNumberFormat="1" applyFont="1" applyAlignment="1"/>
    <xf numFmtId="167" fontId="11" fillId="0" borderId="2" xfId="0" applyNumberFormat="1" applyFont="1" applyBorder="1"/>
    <xf numFmtId="167" fontId="11" fillId="0" borderId="0" xfId="8" applyNumberFormat="1" applyFont="1"/>
    <xf numFmtId="167" fontId="11" fillId="0" borderId="0" xfId="4" applyNumberFormat="1" applyFont="1"/>
    <xf numFmtId="167" fontId="8" fillId="0" borderId="0" xfId="0" applyNumberFormat="1" applyFont="1" applyBorder="1"/>
    <xf numFmtId="167" fontId="11" fillId="0" borderId="0" xfId="6" applyNumberFormat="1" applyFont="1" applyBorder="1"/>
    <xf numFmtId="167" fontId="0" fillId="0" borderId="0" xfId="0" applyNumberFormat="1" applyBorder="1"/>
    <xf numFmtId="0" fontId="0" fillId="0" borderId="0" xfId="0" applyFont="1"/>
    <xf numFmtId="5" fontId="16" fillId="0" borderId="0" xfId="0" applyNumberFormat="1" applyFont="1"/>
    <xf numFmtId="0" fontId="3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5" fontId="0" fillId="0" borderId="3" xfId="0" applyNumberFormat="1" applyBorder="1"/>
    <xf numFmtId="10" fontId="0" fillId="0" borderId="0" xfId="0" applyNumberFormat="1"/>
    <xf numFmtId="37" fontId="0" fillId="0" borderId="0" xfId="1" applyNumberFormat="1" applyFont="1"/>
    <xf numFmtId="37" fontId="3" fillId="0" borderId="0" xfId="0" applyNumberFormat="1" applyFont="1"/>
    <xf numFmtId="5" fontId="3" fillId="0" borderId="0" xfId="0" applyNumberFormat="1" applyFont="1"/>
    <xf numFmtId="164" fontId="3" fillId="0" borderId="0" xfId="0" applyNumberFormat="1" applyFont="1"/>
    <xf numFmtId="169" fontId="18" fillId="0" borderId="0" xfId="0" applyNumberFormat="1" applyFont="1" applyAlignment="1"/>
    <xf numFmtId="164" fontId="18" fillId="0" borderId="0" xfId="0" applyNumberFormat="1" applyFont="1"/>
    <xf numFmtId="0" fontId="18" fillId="0" borderId="0" xfId="0" applyFont="1"/>
    <xf numFmtId="7" fontId="18" fillId="0" borderId="0" xfId="0" applyNumberFormat="1" applyFont="1" applyAlignment="1"/>
    <xf numFmtId="166" fontId="18" fillId="0" borderId="0" xfId="0" applyNumberFormat="1" applyFont="1" applyFill="1" applyAlignment="1"/>
    <xf numFmtId="37" fontId="18" fillId="0" borderId="0" xfId="0" applyNumberFormat="1" applyFont="1"/>
    <xf numFmtId="166" fontId="18" fillId="0" borderId="0" xfId="0" applyNumberFormat="1" applyFont="1" applyAlignment="1"/>
    <xf numFmtId="43" fontId="18" fillId="0" borderId="0" xfId="1" applyFont="1"/>
    <xf numFmtId="166" fontId="3" fillId="0" borderId="0" xfId="0" applyNumberFormat="1" applyFont="1" applyAlignment="1"/>
    <xf numFmtId="7" fontId="3" fillId="0" borderId="0" xfId="0" applyNumberFormat="1" applyFont="1"/>
    <xf numFmtId="169" fontId="18" fillId="0" borderId="0" xfId="0" applyNumberFormat="1" applyFont="1"/>
    <xf numFmtId="7" fontId="18" fillId="0" borderId="0" xfId="0" applyNumberFormat="1" applyFont="1"/>
    <xf numFmtId="165" fontId="18" fillId="0" borderId="0" xfId="0" applyNumberFormat="1" applyFont="1"/>
    <xf numFmtId="37" fontId="18" fillId="0" borderId="0" xfId="0" applyNumberFormat="1" applyFont="1" applyAlignment="1"/>
    <xf numFmtId="37" fontId="3" fillId="0" borderId="0" xfId="0" applyNumberFormat="1" applyFont="1" applyAlignment="1"/>
    <xf numFmtId="168" fontId="18" fillId="0" borderId="0" xfId="1" applyNumberFormat="1" applyFont="1"/>
    <xf numFmtId="168" fontId="18" fillId="0" borderId="0" xfId="0" applyNumberFormat="1" applyFont="1"/>
    <xf numFmtId="0" fontId="19" fillId="0" borderId="0" xfId="0" applyFont="1"/>
    <xf numFmtId="5" fontId="0" fillId="0" borderId="0" xfId="1" applyNumberFormat="1" applyFont="1"/>
    <xf numFmtId="167" fontId="8" fillId="0" borderId="0" xfId="3" applyNumberFormat="1" applyFont="1" applyBorder="1" applyAlignment="1"/>
    <xf numFmtId="167" fontId="11" fillId="0" borderId="0" xfId="0" applyNumberFormat="1" applyFont="1" applyBorder="1"/>
    <xf numFmtId="168" fontId="0" fillId="0" borderId="0" xfId="1" applyNumberFormat="1" applyFont="1" applyFill="1"/>
    <xf numFmtId="164" fontId="18" fillId="0" borderId="0" xfId="0" applyNumberFormat="1" applyFont="1" applyFill="1"/>
    <xf numFmtId="43" fontId="0" fillId="0" borderId="0" xfId="1" applyFont="1" applyFill="1"/>
    <xf numFmtId="170" fontId="18" fillId="0" borderId="0" xfId="9" applyNumberFormat="1" applyFont="1" applyAlignment="1"/>
    <xf numFmtId="10" fontId="0" fillId="0" borderId="4" xfId="0" applyNumberFormat="1" applyBorder="1"/>
    <xf numFmtId="5" fontId="0" fillId="0" borderId="0" xfId="0" applyNumberFormat="1" applyBorder="1"/>
    <xf numFmtId="0" fontId="0" fillId="0" borderId="0" xfId="0" quotePrefix="1"/>
    <xf numFmtId="3" fontId="5" fillId="0" borderId="0" xfId="0" applyNumberFormat="1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left"/>
    </xf>
    <xf numFmtId="3" fontId="20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Alignment="1" applyProtection="1">
      <alignment horizontal="right"/>
      <protection locked="0"/>
    </xf>
    <xf numFmtId="4" fontId="20" fillId="0" borderId="0" xfId="0" applyNumberFormat="1" applyFont="1" applyFill="1" applyAlignment="1">
      <alignment horizontal="right"/>
    </xf>
    <xf numFmtId="4" fontId="20" fillId="0" borderId="0" xfId="0" applyNumberFormat="1" applyFont="1" applyFill="1" applyBorder="1" applyAlignment="1">
      <alignment horizontal="right"/>
    </xf>
    <xf numFmtId="0" fontId="20" fillId="0" borderId="0" xfId="0" applyNumberFormat="1" applyFont="1" applyFill="1" applyAlignment="1"/>
    <xf numFmtId="0" fontId="20" fillId="0" borderId="0" xfId="0" applyNumberFormat="1" applyFont="1" applyFill="1" applyAlignment="1" applyProtection="1">
      <alignment horizontal="right"/>
      <protection locked="0"/>
    </xf>
    <xf numFmtId="171" fontId="20" fillId="0" borderId="0" xfId="0" applyNumberFormat="1" applyFont="1" applyFill="1" applyAlignment="1">
      <alignment horizontal="right"/>
    </xf>
    <xf numFmtId="172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Font="1"/>
    <xf numFmtId="173" fontId="20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Alignment="1" applyProtection="1">
      <alignment horizontal="center"/>
      <protection locked="0"/>
    </xf>
    <xf numFmtId="0" fontId="20" fillId="0" borderId="0" xfId="0" applyNumberFormat="1" applyFont="1" applyFill="1" applyAlignment="1" applyProtection="1">
      <alignment horizontal="center"/>
      <protection locked="0"/>
    </xf>
    <xf numFmtId="171" fontId="20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Alignment="1" applyProtection="1">
      <alignment horizontal="right"/>
      <protection locked="0"/>
    </xf>
    <xf numFmtId="4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Alignment="1" applyProtection="1">
      <alignment horizontal="center"/>
      <protection locked="0"/>
    </xf>
    <xf numFmtId="0" fontId="22" fillId="0" borderId="0" xfId="0" applyNumberFormat="1" applyFont="1" applyFill="1" applyAlignment="1" applyProtection="1">
      <alignment horizontal="center"/>
      <protection locked="0"/>
    </xf>
    <xf numFmtId="171" fontId="22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3" fontId="20" fillId="0" borderId="0" xfId="0" applyNumberFormat="1" applyFont="1" applyFill="1" applyBorder="1" applyAlignment="1"/>
    <xf numFmtId="4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right"/>
    </xf>
    <xf numFmtId="171" fontId="20" fillId="0" borderId="0" xfId="0" applyNumberFormat="1" applyFont="1" applyFill="1" applyBorder="1" applyAlignment="1">
      <alignment horizontal="right"/>
    </xf>
    <xf numFmtId="165" fontId="20" fillId="0" borderId="0" xfId="0" applyNumberFormat="1" applyFont="1" applyFill="1" applyBorder="1" applyAlignment="1"/>
    <xf numFmtId="0" fontId="20" fillId="0" borderId="0" xfId="0" applyNumberFormat="1" applyFont="1" applyBorder="1" applyAlignment="1" applyProtection="1">
      <protection locked="0"/>
    </xf>
    <xf numFmtId="174" fontId="20" fillId="0" borderId="0" xfId="0" applyNumberFormat="1" applyFont="1" applyFill="1" applyBorder="1" applyAlignment="1"/>
    <xf numFmtId="175" fontId="20" fillId="0" borderId="0" xfId="0" applyNumberFormat="1" applyFont="1" applyFill="1" applyBorder="1" applyAlignment="1"/>
    <xf numFmtId="0" fontId="20" fillId="0" borderId="0" xfId="0" applyFont="1" applyBorder="1"/>
    <xf numFmtId="3" fontId="20" fillId="0" borderId="0" xfId="0" applyNumberFormat="1" applyFont="1"/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5" fontId="20" fillId="0" borderId="0" xfId="0" applyNumberFormat="1" applyFont="1"/>
    <xf numFmtId="10" fontId="20" fillId="0" borderId="0" xfId="9" applyNumberFormat="1" applyFont="1"/>
    <xf numFmtId="168" fontId="20" fillId="0" borderId="0" xfId="1" applyNumberFormat="1" applyFont="1"/>
    <xf numFmtId="0" fontId="20" fillId="0" borderId="2" xfId="0" applyFont="1" applyBorder="1"/>
    <xf numFmtId="5" fontId="20" fillId="0" borderId="2" xfId="0" applyNumberFormat="1" applyFont="1" applyBorder="1"/>
    <xf numFmtId="10" fontId="20" fillId="0" borderId="2" xfId="9" applyNumberFormat="1" applyFont="1" applyBorder="1"/>
    <xf numFmtId="168" fontId="20" fillId="0" borderId="2" xfId="1" applyNumberFormat="1" applyFont="1" applyBorder="1"/>
    <xf numFmtId="168" fontId="20" fillId="0" borderId="0" xfId="0" applyNumberFormat="1" applyFont="1"/>
    <xf numFmtId="0" fontId="20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0" borderId="5" xfId="0" applyFont="1" applyBorder="1"/>
    <xf numFmtId="10" fontId="20" fillId="0" borderId="5" xfId="9" applyNumberFormat="1" applyFont="1" applyBorder="1"/>
    <xf numFmtId="10" fontId="20" fillId="0" borderId="6" xfId="9" applyNumberFormat="1" applyFont="1" applyBorder="1"/>
    <xf numFmtId="0" fontId="0" fillId="0" borderId="0" xfId="0" applyFont="1" applyFill="1" applyBorder="1"/>
    <xf numFmtId="10" fontId="20" fillId="0" borderId="0" xfId="0" applyNumberFormat="1" applyFont="1"/>
    <xf numFmtId="0" fontId="21" fillId="0" borderId="0" xfId="0" applyFont="1" applyAlignment="1">
      <alignment horizontal="right"/>
    </xf>
    <xf numFmtId="174" fontId="20" fillId="3" borderId="0" xfId="0" applyNumberFormat="1" applyFont="1" applyFill="1" applyBorder="1" applyAlignment="1"/>
    <xf numFmtId="172" fontId="20" fillId="0" borderId="0" xfId="0" applyNumberFormat="1" applyFont="1" applyFill="1" applyBorder="1" applyAlignment="1" applyProtection="1">
      <alignment horizontal="center"/>
      <protection locked="0"/>
    </xf>
    <xf numFmtId="165" fontId="21" fillId="0" borderId="0" xfId="0" applyNumberFormat="1" applyFont="1" applyFill="1" applyBorder="1" applyAlignment="1">
      <alignment horizontal="left"/>
    </xf>
    <xf numFmtId="165" fontId="21" fillId="0" borderId="0" xfId="0" applyNumberFormat="1" applyFont="1" applyFill="1" applyBorder="1" applyAlignment="1"/>
    <xf numFmtId="165" fontId="20" fillId="0" borderId="0" xfId="0" applyNumberFormat="1" applyFont="1" applyFill="1" applyBorder="1" applyAlignment="1">
      <alignment horizontal="left"/>
    </xf>
    <xf numFmtId="173" fontId="20" fillId="0" borderId="0" xfId="0" applyNumberFormat="1" applyFont="1" applyFill="1" applyBorder="1" applyAlignment="1">
      <alignment horizontal="center"/>
    </xf>
    <xf numFmtId="172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Border="1" applyAlignment="1" applyProtection="1">
      <alignment horizontal="center"/>
      <protection locked="0"/>
    </xf>
    <xf numFmtId="173" fontId="20" fillId="0" borderId="0" xfId="0" applyNumberFormat="1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165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/>
    <xf numFmtId="172" fontId="20" fillId="0" borderId="0" xfId="0" applyNumberFormat="1" applyFont="1" applyBorder="1" applyAlignment="1" applyProtection="1">
      <protection locked="0"/>
    </xf>
    <xf numFmtId="176" fontId="20" fillId="0" borderId="0" xfId="9" applyNumberFormat="1" applyFont="1" applyFill="1" applyBorder="1" applyAlignment="1"/>
    <xf numFmtId="170" fontId="20" fillId="0" borderId="0" xfId="9" applyNumberFormat="1" applyFont="1" applyFill="1" applyBorder="1" applyAlignment="1"/>
    <xf numFmtId="169" fontId="15" fillId="0" borderId="0" xfId="0" applyNumberFormat="1" applyFont="1" applyAlignment="1"/>
    <xf numFmtId="7" fontId="15" fillId="0" borderId="0" xfId="0" applyNumberFormat="1" applyFont="1" applyAlignment="1"/>
    <xf numFmtId="170" fontId="15" fillId="0" borderId="0" xfId="9" applyNumberFormat="1" applyFont="1" applyAlignment="1"/>
    <xf numFmtId="169" fontId="15" fillId="0" borderId="0" xfId="0" applyNumberFormat="1" applyFont="1"/>
    <xf numFmtId="7" fontId="15" fillId="0" borderId="0" xfId="0" applyNumberFormat="1" applyFont="1"/>
    <xf numFmtId="165" fontId="15" fillId="0" borderId="0" xfId="0" applyNumberFormat="1" applyFont="1"/>
    <xf numFmtId="169" fontId="15" fillId="0" borderId="0" xfId="0" applyNumberFormat="1" applyFont="1" applyFill="1"/>
    <xf numFmtId="0" fontId="15" fillId="0" borderId="0" xfId="0" applyFont="1" applyFill="1"/>
    <xf numFmtId="7" fontId="15" fillId="0" borderId="0" xfId="0" applyNumberFormat="1" applyFont="1" applyFill="1"/>
    <xf numFmtId="165" fontId="15" fillId="0" borderId="0" xfId="0" applyNumberFormat="1" applyFont="1" applyFill="1"/>
    <xf numFmtId="177" fontId="15" fillId="0" borderId="0" xfId="0" applyNumberFormat="1" applyFont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169" fontId="15" fillId="0" borderId="0" xfId="0" applyNumberFormat="1" applyFont="1" applyFill="1" applyAlignment="1"/>
    <xf numFmtId="7" fontId="3" fillId="0" borderId="0" xfId="0" applyNumberFormat="1" applyFont="1" applyFill="1" applyAlignment="1"/>
    <xf numFmtId="7" fontId="15" fillId="0" borderId="0" xfId="0" applyNumberFormat="1" applyFont="1" applyFill="1" applyAlignment="1"/>
    <xf numFmtId="166" fontId="3" fillId="0" borderId="0" xfId="0" applyNumberFormat="1" applyFont="1" applyFill="1" applyAlignment="1"/>
    <xf numFmtId="170" fontId="15" fillId="0" borderId="0" xfId="9" applyNumberFormat="1" applyFont="1" applyFill="1" applyAlignment="1"/>
    <xf numFmtId="0" fontId="3" fillId="4" borderId="0" xfId="0" applyFont="1" applyFill="1"/>
    <xf numFmtId="37" fontId="18" fillId="0" borderId="0" xfId="0" applyNumberFormat="1" applyFont="1" applyFill="1"/>
    <xf numFmtId="0" fontId="3" fillId="0" borderId="0" xfId="0" applyFont="1" applyFill="1"/>
    <xf numFmtId="37" fontId="0" fillId="0" borderId="0" xfId="0" applyNumberFormat="1" applyFill="1"/>
    <xf numFmtId="0" fontId="18" fillId="0" borderId="0" xfId="0" applyFont="1" applyFill="1"/>
    <xf numFmtId="178" fontId="18" fillId="0" borderId="0" xfId="16" applyNumberFormat="1" applyFont="1" applyFill="1"/>
    <xf numFmtId="178" fontId="16" fillId="0" borderId="0" xfId="16" applyNumberFormat="1" applyFont="1" applyFill="1"/>
    <xf numFmtId="5" fontId="16" fillId="0" borderId="0" xfId="0" applyNumberFormat="1" applyFont="1" applyFill="1"/>
    <xf numFmtId="0" fontId="6" fillId="0" borderId="0" xfId="0" applyFont="1" applyFill="1"/>
    <xf numFmtId="43" fontId="6" fillId="0" borderId="0" xfId="1" applyFont="1" applyFill="1"/>
    <xf numFmtId="169" fontId="18" fillId="0" borderId="0" xfId="0" applyNumberFormat="1" applyFont="1" applyFill="1" applyAlignment="1"/>
    <xf numFmtId="43" fontId="0" fillId="0" borderId="0" xfId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5" fillId="0" borderId="0" xfId="0" applyFont="1" applyFill="1"/>
    <xf numFmtId="7" fontId="18" fillId="0" borderId="0" xfId="0" applyNumberFormat="1" applyFont="1" applyFill="1" applyAlignment="1"/>
    <xf numFmtId="43" fontId="17" fillId="0" borderId="0" xfId="1" applyFont="1" applyFill="1" applyAlignment="1"/>
    <xf numFmtId="170" fontId="18" fillId="0" borderId="0" xfId="9" applyNumberFormat="1" applyFont="1" applyFill="1" applyAlignment="1"/>
    <xf numFmtId="169" fontId="18" fillId="0" borderId="0" xfId="0" applyNumberFormat="1" applyFont="1" applyFill="1"/>
    <xf numFmtId="179" fontId="18" fillId="0" borderId="0" xfId="0" applyNumberFormat="1" applyFont="1"/>
    <xf numFmtId="0" fontId="0" fillId="58" borderId="0" xfId="0" applyFill="1"/>
    <xf numFmtId="43" fontId="0" fillId="58" borderId="0" xfId="1" applyFont="1" applyFill="1"/>
    <xf numFmtId="5" fontId="0" fillId="58" borderId="0" xfId="1" applyNumberFormat="1" applyFont="1" applyFill="1"/>
    <xf numFmtId="43" fontId="0" fillId="0" borderId="0" xfId="0" applyNumberFormat="1"/>
    <xf numFmtId="5" fontId="0" fillId="0" borderId="0" xfId="1" applyNumberFormat="1" applyFont="1" applyFill="1"/>
    <xf numFmtId="0" fontId="0" fillId="0" borderId="2" xfId="0" applyFill="1" applyBorder="1"/>
    <xf numFmtId="5" fontId="16" fillId="0" borderId="2" xfId="0" applyNumberFormat="1" applyFont="1" applyFill="1" applyBorder="1"/>
    <xf numFmtId="168" fontId="0" fillId="0" borderId="2" xfId="1" applyNumberFormat="1" applyFont="1" applyBorder="1"/>
    <xf numFmtId="7" fontId="18" fillId="0" borderId="2" xfId="0" applyNumberFormat="1" applyFont="1" applyBorder="1" applyAlignment="1"/>
    <xf numFmtId="5" fontId="16" fillId="0" borderId="2" xfId="0" applyNumberFormat="1" applyFont="1" applyBorder="1"/>
    <xf numFmtId="178" fontId="0" fillId="0" borderId="0" xfId="16" applyNumberFormat="1" applyFont="1" applyFill="1"/>
    <xf numFmtId="43" fontId="0" fillId="0" borderId="2" xfId="1" applyFont="1" applyBorder="1"/>
    <xf numFmtId="0" fontId="4" fillId="0" borderId="0" xfId="0" applyFont="1" applyFill="1" applyAlignment="1">
      <alignment horizontal="center"/>
    </xf>
    <xf numFmtId="5" fontId="3" fillId="0" borderId="0" xfId="0" applyNumberFormat="1" applyFont="1" applyFill="1"/>
    <xf numFmtId="164" fontId="3" fillId="0" borderId="0" xfId="0" applyNumberFormat="1" applyFont="1" applyFill="1"/>
    <xf numFmtId="3" fontId="3" fillId="0" borderId="0" xfId="0" applyNumberFormat="1" applyFont="1" applyFill="1"/>
    <xf numFmtId="5" fontId="0" fillId="0" borderId="2" xfId="0" applyNumberFormat="1" applyFill="1" applyBorder="1"/>
    <xf numFmtId="43" fontId="15" fillId="0" borderId="0" xfId="1" applyFont="1" applyFill="1"/>
    <xf numFmtId="43" fontId="18" fillId="0" borderId="0" xfId="1" applyFont="1" applyFill="1"/>
    <xf numFmtId="166" fontId="0" fillId="0" borderId="0" xfId="0" applyNumberFormat="1" applyFill="1" applyAlignment="1"/>
    <xf numFmtId="43" fontId="3" fillId="0" borderId="0" xfId="1" applyFont="1" applyFill="1"/>
    <xf numFmtId="5" fontId="3" fillId="0" borderId="0" xfId="1" applyNumberFormat="1" applyFont="1" applyFill="1"/>
    <xf numFmtId="43" fontId="3" fillId="0" borderId="0" xfId="1" applyFont="1"/>
    <xf numFmtId="43" fontId="0" fillId="0" borderId="2" xfId="1" applyFont="1" applyFill="1" applyBorder="1"/>
    <xf numFmtId="5" fontId="0" fillId="0" borderId="2" xfId="1" applyNumberFormat="1" applyFont="1" applyBorder="1"/>
    <xf numFmtId="43" fontId="0" fillId="0" borderId="0" xfId="1" applyNumberFormat="1" applyFont="1"/>
    <xf numFmtId="166" fontId="15" fillId="0" borderId="0" xfId="0" applyNumberFormat="1" applyFont="1"/>
    <xf numFmtId="37" fontId="0" fillId="0" borderId="2" xfId="1" applyNumberFormat="1" applyFont="1" applyBorder="1"/>
    <xf numFmtId="7" fontId="16" fillId="0" borderId="0" xfId="0" applyNumberFormat="1" applyFont="1"/>
    <xf numFmtId="168" fontId="0" fillId="0" borderId="0" xfId="0" applyNumberFormat="1"/>
    <xf numFmtId="0" fontId="0" fillId="0" borderId="0" xfId="0" applyFont="1" applyBorder="1"/>
    <xf numFmtId="167" fontId="11" fillId="0" borderId="0" xfId="5" applyNumberFormat="1" applyFont="1" applyFill="1" applyBorder="1" applyAlignment="1"/>
    <xf numFmtId="0" fontId="0" fillId="0" borderId="0" xfId="0" applyBorder="1"/>
    <xf numFmtId="167" fontId="11" fillId="0" borderId="0" xfId="5" applyNumberFormat="1" applyFont="1" applyBorder="1" applyAlignment="1"/>
    <xf numFmtId="0" fontId="15" fillId="0" borderId="0" xfId="0" applyFont="1" applyAlignment="1">
      <alignment horizontal="center" wrapText="1"/>
    </xf>
    <xf numFmtId="0" fontId="0" fillId="0" borderId="0" xfId="0" applyFont="1" applyFill="1"/>
    <xf numFmtId="167" fontId="8" fillId="0" borderId="0" xfId="0" applyNumberFormat="1" applyFont="1" applyFill="1" applyBorder="1"/>
    <xf numFmtId="167" fontId="11" fillId="0" borderId="0" xfId="8" applyNumberFormat="1" applyFont="1" applyFill="1" applyBorder="1"/>
    <xf numFmtId="167" fontId="0" fillId="0" borderId="0" xfId="0" applyNumberFormat="1" applyFill="1" applyBorder="1"/>
    <xf numFmtId="167" fontId="11" fillId="0" borderId="0" xfId="0" applyNumberFormat="1" applyFont="1" applyFill="1" applyBorder="1"/>
    <xf numFmtId="0" fontId="0" fillId="0" borderId="0" xfId="0" applyFill="1" applyBorder="1"/>
    <xf numFmtId="3" fontId="6" fillId="0" borderId="0" xfId="0" applyNumberFormat="1" applyFont="1"/>
    <xf numFmtId="3" fontId="103" fillId="0" borderId="0" xfId="0" applyNumberFormat="1" applyFont="1"/>
    <xf numFmtId="5" fontId="6" fillId="0" borderId="0" xfId="0" applyNumberFormat="1" applyFont="1" applyFill="1"/>
    <xf numFmtId="6" fontId="6" fillId="0" borderId="0" xfId="0" applyNumberFormat="1" applyFont="1" applyFill="1"/>
    <xf numFmtId="0" fontId="3" fillId="0" borderId="0" xfId="0" applyFont="1" applyAlignment="1">
      <alignment horizontal="center"/>
    </xf>
    <xf numFmtId="5" fontId="0" fillId="0" borderId="0" xfId="0" applyNumberFormat="1" applyFill="1" applyBorder="1"/>
    <xf numFmtId="5" fontId="0" fillId="0" borderId="32" xfId="0" applyNumberFormat="1" applyBorder="1"/>
    <xf numFmtId="5" fontId="3" fillId="0" borderId="0" xfId="157" applyNumberFormat="1"/>
    <xf numFmtId="37" fontId="104" fillId="0" borderId="0" xfId="115" applyFont="1" applyFill="1"/>
    <xf numFmtId="37" fontId="104" fillId="0" borderId="2" xfId="115" applyFont="1" applyFill="1" applyBorder="1"/>
    <xf numFmtId="5" fontId="0" fillId="0" borderId="32" xfId="0" applyNumberFormat="1" applyFill="1" applyBorder="1"/>
    <xf numFmtId="0" fontId="0" fillId="0" borderId="1" xfId="0" applyFill="1" applyBorder="1"/>
    <xf numFmtId="0" fontId="0" fillId="0" borderId="1" xfId="0" applyBorder="1"/>
    <xf numFmtId="6" fontId="0" fillId="0" borderId="0" xfId="0" applyNumberFormat="1"/>
    <xf numFmtId="0" fontId="3" fillId="0" borderId="0" xfId="217" applyFont="1" applyBorder="1"/>
    <xf numFmtId="37" fontId="3" fillId="0" borderId="0" xfId="217" applyNumberFormat="1" applyFont="1" applyBorder="1"/>
    <xf numFmtId="167" fontId="0" fillId="0" borderId="0" xfId="0" applyNumberFormat="1" applyFill="1"/>
    <xf numFmtId="168" fontId="6" fillId="0" borderId="0" xfId="1" applyNumberFormat="1" applyFont="1"/>
    <xf numFmtId="0" fontId="6" fillId="0" borderId="2" xfId="0" applyFont="1" applyBorder="1"/>
    <xf numFmtId="0" fontId="103" fillId="0" borderId="0" xfId="0" applyFont="1"/>
    <xf numFmtId="8" fontId="0" fillId="62" borderId="0" xfId="0" applyNumberFormat="1" applyFill="1"/>
    <xf numFmtId="8" fontId="0" fillId="0" borderId="0" xfId="0" applyNumberFormat="1"/>
    <xf numFmtId="182" fontId="0" fillId="0" borderId="0" xfId="16" applyNumberFormat="1" applyFont="1" applyAlignment="1">
      <alignment horizontal="center"/>
    </xf>
    <xf numFmtId="182" fontId="0" fillId="62" borderId="0" xfId="16" applyNumberFormat="1" applyFont="1" applyFill="1"/>
    <xf numFmtId="182" fontId="0" fillId="0" borderId="0" xfId="16" applyNumberFormat="1" applyFont="1"/>
    <xf numFmtId="183" fontId="0" fillId="0" borderId="0" xfId="9" applyNumberFormat="1" applyFont="1" applyAlignment="1">
      <alignment horizontal="center"/>
    </xf>
    <xf numFmtId="183" fontId="0" fillId="0" borderId="0" xfId="9" applyNumberFormat="1" applyFont="1"/>
    <xf numFmtId="0" fontId="106" fillId="63" borderId="36" xfId="0" applyFont="1" applyFill="1" applyBorder="1" applyAlignment="1">
      <alignment horizontal="center" vertical="center" wrapText="1"/>
    </xf>
    <xf numFmtId="0" fontId="105" fillId="0" borderId="34" xfId="0" applyFont="1" applyBorder="1" applyAlignment="1">
      <alignment horizontal="center" vertical="center" wrapText="1"/>
    </xf>
    <xf numFmtId="0" fontId="105" fillId="0" borderId="42" xfId="0" applyFont="1" applyBorder="1" applyAlignment="1">
      <alignment vertical="center" wrapText="1"/>
    </xf>
    <xf numFmtId="0" fontId="105" fillId="0" borderId="34" xfId="0" applyFont="1" applyBorder="1" applyAlignment="1">
      <alignment wrapText="1"/>
    </xf>
    <xf numFmtId="178" fontId="19" fillId="64" borderId="34" xfId="16" applyNumberFormat="1" applyFont="1" applyFill="1" applyBorder="1" applyAlignment="1"/>
    <xf numFmtId="178" fontId="19" fillId="0" borderId="34" xfId="16" applyNumberFormat="1" applyFont="1" applyFill="1" applyBorder="1" applyAlignment="1"/>
    <xf numFmtId="10" fontId="105" fillId="0" borderId="34" xfId="0" applyNumberFormat="1" applyFont="1" applyBorder="1" applyAlignment="1">
      <alignment horizontal="center" wrapText="1"/>
    </xf>
    <xf numFmtId="167" fontId="105" fillId="0" borderId="34" xfId="16" applyNumberFormat="1" applyFont="1" applyBorder="1" applyAlignment="1"/>
    <xf numFmtId="10" fontId="105" fillId="0" borderId="34" xfId="0" applyNumberFormat="1" applyFont="1" applyBorder="1" applyAlignment="1">
      <alignment horizontal="center"/>
    </xf>
    <xf numFmtId="0" fontId="105" fillId="0" borderId="43" xfId="0" applyFont="1" applyBorder="1" applyAlignment="1">
      <alignment vertical="center" wrapText="1"/>
    </xf>
    <xf numFmtId="0" fontId="105" fillId="0" borderId="44" xfId="0" applyFont="1" applyBorder="1" applyAlignment="1">
      <alignment vertical="center" wrapText="1"/>
    </xf>
    <xf numFmtId="178" fontId="19" fillId="64" borderId="34" xfId="217" applyNumberFormat="1" applyFont="1" applyFill="1" applyBorder="1" applyAlignment="1"/>
    <xf numFmtId="178" fontId="19" fillId="0" borderId="34" xfId="217" applyNumberFormat="1" applyFont="1" applyFill="1" applyBorder="1" applyAlignment="1"/>
    <xf numFmtId="178" fontId="0" fillId="0" borderId="0" xfId="16" applyNumberFormat="1" applyFont="1"/>
    <xf numFmtId="0" fontId="105" fillId="0" borderId="34" xfId="0" applyFont="1" applyBorder="1" applyAlignment="1">
      <alignment vertical="center" wrapText="1"/>
    </xf>
    <xf numFmtId="167" fontId="105" fillId="63" borderId="34" xfId="0" applyNumberFormat="1" applyFont="1" applyFill="1" applyBorder="1"/>
    <xf numFmtId="10" fontId="105" fillId="0" borderId="34" xfId="9" applyNumberFormat="1" applyFont="1" applyBorder="1" applyAlignment="1">
      <alignment horizontal="center"/>
    </xf>
    <xf numFmtId="0" fontId="105" fillId="0" borderId="34" xfId="0" applyFont="1" applyBorder="1" applyAlignment="1">
      <alignment horizontal="center"/>
    </xf>
    <xf numFmtId="0" fontId="105" fillId="0" borderId="34" xfId="0" applyFont="1" applyFill="1" applyBorder="1" applyAlignment="1">
      <alignment horizontal="center"/>
    </xf>
    <xf numFmtId="0" fontId="105" fillId="63" borderId="34" xfId="0" applyFont="1" applyFill="1" applyBorder="1" applyAlignment="1">
      <alignment horizontal="center"/>
    </xf>
    <xf numFmtId="0" fontId="105" fillId="0" borderId="45" xfId="0" applyFont="1" applyBorder="1" applyAlignment="1">
      <alignment vertical="center" wrapText="1"/>
    </xf>
    <xf numFmtId="178" fontId="0" fillId="0" borderId="0" xfId="0" applyNumberFormat="1"/>
    <xf numFmtId="0" fontId="0" fillId="0" borderId="0" xfId="0" applyAlignment="1">
      <alignment horizontal="left" wrapText="1"/>
    </xf>
    <xf numFmtId="0" fontId="105" fillId="0" borderId="0" xfId="0" applyFont="1"/>
    <xf numFmtId="178" fontId="105" fillId="0" borderId="0" xfId="0" applyNumberFormat="1" applyFont="1"/>
    <xf numFmtId="44" fontId="0" fillId="0" borderId="0" xfId="16" applyFont="1"/>
    <xf numFmtId="5" fontId="0" fillId="65" borderId="0" xfId="0" applyNumberFormat="1" applyFill="1"/>
    <xf numFmtId="0" fontId="107" fillId="0" borderId="0" xfId="0" applyFont="1"/>
    <xf numFmtId="3" fontId="3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9" applyNumberFormat="1" applyFont="1"/>
    <xf numFmtId="168" fontId="3" fillId="0" borderId="0" xfId="0" applyNumberFormat="1" applyFont="1"/>
    <xf numFmtId="10" fontId="3" fillId="0" borderId="0" xfId="0" applyNumberFormat="1" applyFont="1"/>
    <xf numFmtId="176" fontId="3" fillId="0" borderId="0" xfId="9" applyNumberFormat="1" applyFont="1"/>
    <xf numFmtId="10" fontId="3" fillId="0" borderId="0" xfId="9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2" xfId="0" applyFont="1" applyBorder="1"/>
    <xf numFmtId="5" fontId="3" fillId="0" borderId="2" xfId="0" applyNumberFormat="1" applyFont="1" applyBorder="1"/>
    <xf numFmtId="5" fontId="3" fillId="0" borderId="2" xfId="0" applyNumberFormat="1" applyFont="1" applyFill="1" applyBorder="1"/>
    <xf numFmtId="10" fontId="3" fillId="0" borderId="2" xfId="9" applyNumberFormat="1" applyFont="1" applyBorder="1"/>
    <xf numFmtId="168" fontId="3" fillId="0" borderId="2" xfId="0" applyNumberFormat="1" applyFont="1" applyBorder="1"/>
    <xf numFmtId="176" fontId="3" fillId="0" borderId="2" xfId="9" applyNumberFormat="1" applyFont="1" applyBorder="1"/>
    <xf numFmtId="3" fontId="3" fillId="0" borderId="2" xfId="0" applyNumberFormat="1" applyFont="1" applyBorder="1"/>
    <xf numFmtId="6" fontId="3" fillId="0" borderId="0" xfId="0" applyNumberFormat="1" applyFont="1"/>
    <xf numFmtId="7" fontId="3" fillId="0" borderId="0" xfId="0" applyNumberFormat="1" applyFont="1" applyFill="1"/>
    <xf numFmtId="6" fontId="3" fillId="0" borderId="0" xfId="0" applyNumberFormat="1" applyFont="1" applyFill="1"/>
    <xf numFmtId="178" fontId="3" fillId="0" borderId="0" xfId="16" applyNumberFormat="1" applyFont="1" applyFill="1"/>
    <xf numFmtId="178" fontId="3" fillId="0" borderId="0" xfId="0" applyNumberFormat="1" applyFont="1" applyFill="1"/>
    <xf numFmtId="10" fontId="20" fillId="0" borderId="5" xfId="9" applyNumberFormat="1" applyFont="1" applyBorder="1" applyAlignment="1">
      <alignment vertical="center"/>
    </xf>
    <xf numFmtId="10" fontId="20" fillId="0" borderId="0" xfId="9" applyNumberFormat="1" applyFont="1" applyBorder="1" applyAlignment="1">
      <alignment horizontal="left" vertical="center"/>
    </xf>
    <xf numFmtId="172" fontId="20" fillId="0" borderId="2" xfId="0" applyNumberFormat="1" applyFont="1" applyFill="1" applyBorder="1" applyAlignment="1" applyProtection="1">
      <alignment horizontal="center"/>
      <protection locked="0"/>
    </xf>
    <xf numFmtId="178" fontId="105" fillId="0" borderId="34" xfId="0" applyNumberFormat="1" applyFont="1" applyBorder="1" applyAlignment="1">
      <alignment horizontal="center" vertical="center" wrapText="1"/>
    </xf>
    <xf numFmtId="0" fontId="105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05" fillId="0" borderId="33" xfId="0" applyFont="1" applyBorder="1" applyAlignment="1">
      <alignment horizontal="center" wrapText="1"/>
    </xf>
    <xf numFmtId="0" fontId="105" fillId="0" borderId="38" xfId="0" applyFont="1" applyBorder="1" applyAlignment="1">
      <alignment horizontal="center" wrapText="1"/>
    </xf>
    <xf numFmtId="0" fontId="105" fillId="0" borderId="40" xfId="0" applyFont="1" applyBorder="1" applyAlignment="1">
      <alignment horizontal="center" wrapText="1"/>
    </xf>
    <xf numFmtId="0" fontId="105" fillId="0" borderId="34" xfId="0" applyFont="1" applyBorder="1" applyAlignment="1">
      <alignment horizontal="center" vertical="center"/>
    </xf>
    <xf numFmtId="0" fontId="106" fillId="0" borderId="35" xfId="0" applyFont="1" applyBorder="1" applyAlignment="1">
      <alignment horizontal="center" vertical="center" wrapText="1"/>
    </xf>
    <xf numFmtId="0" fontId="106" fillId="0" borderId="36" xfId="0" applyFont="1" applyBorder="1" applyAlignment="1">
      <alignment horizontal="center" vertical="center" wrapText="1"/>
    </xf>
    <xf numFmtId="0" fontId="106" fillId="0" borderId="37" xfId="0" applyFont="1" applyBorder="1" applyAlignment="1">
      <alignment horizontal="center" vertical="center" wrapText="1"/>
    </xf>
    <xf numFmtId="178" fontId="105" fillId="63" borderId="39" xfId="0" applyNumberFormat="1" applyFont="1" applyFill="1" applyBorder="1" applyAlignment="1">
      <alignment horizontal="center" vertical="center" wrapText="1"/>
    </xf>
    <xf numFmtId="178" fontId="105" fillId="63" borderId="41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</cellXfs>
  <cellStyles count="2474">
    <cellStyle name="20% - Accent1" xfId="34" builtinId="30" customBuiltin="1"/>
    <cellStyle name="20% - Accent1 2" xfId="58"/>
    <cellStyle name="20% - Accent1 2 2" xfId="572"/>
    <cellStyle name="20% - Accent1 2 3" xfId="571"/>
    <cellStyle name="20% - Accent1 3" xfId="230"/>
    <cellStyle name="20% - Accent1 3 2" xfId="376"/>
    <cellStyle name="20% - Accent1 3 3" xfId="427"/>
    <cellStyle name="20% - Accent1 3 4" xfId="484"/>
    <cellStyle name="20% - Accent1 3 5" xfId="573"/>
    <cellStyle name="20% - Accent1 4" xfId="358"/>
    <cellStyle name="20% - Accent1 4 2" xfId="574"/>
    <cellStyle name="20% - Accent1 5" xfId="410"/>
    <cellStyle name="20% - Accent1 5 2" xfId="575"/>
    <cellStyle name="20% - Accent1 6" xfId="455"/>
    <cellStyle name="20% - Accent1 6 2" xfId="576"/>
    <cellStyle name="20% - Accent1 7" xfId="577"/>
    <cellStyle name="20% - Accent1 8" xfId="578"/>
    <cellStyle name="20% - Accent2" xfId="38" builtinId="34" customBuiltin="1"/>
    <cellStyle name="20% - Accent2 2" xfId="59"/>
    <cellStyle name="20% - Accent2 2 2" xfId="579"/>
    <cellStyle name="20% - Accent2 3" xfId="232"/>
    <cellStyle name="20% - Accent2 3 2" xfId="378"/>
    <cellStyle name="20% - Accent2 3 3" xfId="429"/>
    <cellStyle name="20% - Accent2 3 4" xfId="486"/>
    <cellStyle name="20% - Accent2 3 5" xfId="580"/>
    <cellStyle name="20% - Accent2 4" xfId="360"/>
    <cellStyle name="20% - Accent2 4 2" xfId="581"/>
    <cellStyle name="20% - Accent2 5" xfId="412"/>
    <cellStyle name="20% - Accent2 5 2" xfId="582"/>
    <cellStyle name="20% - Accent2 6" xfId="457"/>
    <cellStyle name="20% - Accent2 6 2" xfId="583"/>
    <cellStyle name="20% - Accent3" xfId="42" builtinId="38" customBuiltin="1"/>
    <cellStyle name="20% - Accent3 2" xfId="60"/>
    <cellStyle name="20% - Accent3 2 2" xfId="585"/>
    <cellStyle name="20% - Accent3 2 3" xfId="584"/>
    <cellStyle name="20% - Accent3 3" xfId="234"/>
    <cellStyle name="20% - Accent3 3 2" xfId="380"/>
    <cellStyle name="20% - Accent3 3 3" xfId="431"/>
    <cellStyle name="20% - Accent3 3 4" xfId="488"/>
    <cellStyle name="20% - Accent3 3 5" xfId="586"/>
    <cellStyle name="20% - Accent3 4" xfId="362"/>
    <cellStyle name="20% - Accent3 4 2" xfId="587"/>
    <cellStyle name="20% - Accent3 5" xfId="414"/>
    <cellStyle name="20% - Accent3 5 2" xfId="588"/>
    <cellStyle name="20% - Accent3 6" xfId="459"/>
    <cellStyle name="20% - Accent3 6 2" xfId="589"/>
    <cellStyle name="20% - Accent3 7" xfId="590"/>
    <cellStyle name="20% - Accent3 8" xfId="591"/>
    <cellStyle name="20% - Accent4" xfId="46" builtinId="42" customBuiltin="1"/>
    <cellStyle name="20% - Accent4 2" xfId="61"/>
    <cellStyle name="20% - Accent4 2 2" xfId="593"/>
    <cellStyle name="20% - Accent4 2 3" xfId="592"/>
    <cellStyle name="20% - Accent4 3" xfId="236"/>
    <cellStyle name="20% - Accent4 3 2" xfId="382"/>
    <cellStyle name="20% - Accent4 3 3" xfId="433"/>
    <cellStyle name="20% - Accent4 3 4" xfId="490"/>
    <cellStyle name="20% - Accent4 3 5" xfId="594"/>
    <cellStyle name="20% - Accent4 4" xfId="364"/>
    <cellStyle name="20% - Accent4 4 2" xfId="595"/>
    <cellStyle name="20% - Accent4 5" xfId="416"/>
    <cellStyle name="20% - Accent4 5 2" xfId="596"/>
    <cellStyle name="20% - Accent4 6" xfId="461"/>
    <cellStyle name="20% - Accent4 6 2" xfId="597"/>
    <cellStyle name="20% - Accent4 7" xfId="598"/>
    <cellStyle name="20% - Accent4 8" xfId="599"/>
    <cellStyle name="20% - Accent5" xfId="50" builtinId="46" customBuiltin="1"/>
    <cellStyle name="20% - Accent5 2" xfId="62"/>
    <cellStyle name="20% - Accent5 2 2" xfId="600"/>
    <cellStyle name="20% - Accent5 3" xfId="238"/>
    <cellStyle name="20% - Accent5 3 2" xfId="384"/>
    <cellStyle name="20% - Accent5 3 3" xfId="435"/>
    <cellStyle name="20% - Accent5 3 4" xfId="492"/>
    <cellStyle name="20% - Accent5 3 5" xfId="601"/>
    <cellStyle name="20% - Accent5 4" xfId="366"/>
    <cellStyle name="20% - Accent5 4 2" xfId="602"/>
    <cellStyle name="20% - Accent5 5" xfId="418"/>
    <cellStyle name="20% - Accent5 5 2" xfId="603"/>
    <cellStyle name="20% - Accent5 6" xfId="463"/>
    <cellStyle name="20% - Accent5 6 2" xfId="604"/>
    <cellStyle name="20% - Accent6" xfId="54" builtinId="50" customBuiltin="1"/>
    <cellStyle name="20% - Accent6 2" xfId="63"/>
    <cellStyle name="20% - Accent6 2 2" xfId="605"/>
    <cellStyle name="20% - Accent6 3" xfId="240"/>
    <cellStyle name="20% - Accent6 3 2" xfId="386"/>
    <cellStyle name="20% - Accent6 3 3" xfId="437"/>
    <cellStyle name="20% - Accent6 3 4" xfId="494"/>
    <cellStyle name="20% - Accent6 3 5" xfId="606"/>
    <cellStyle name="20% - Accent6 4" xfId="368"/>
    <cellStyle name="20% - Accent6 4 2" xfId="607"/>
    <cellStyle name="20% - Accent6 5" xfId="420"/>
    <cellStyle name="20% - Accent6 5 2" xfId="608"/>
    <cellStyle name="20% - Accent6 6" xfId="465"/>
    <cellStyle name="20% - Accent6 6 2" xfId="609"/>
    <cellStyle name="40% - Accent1" xfId="35" builtinId="31" customBuiltin="1"/>
    <cellStyle name="40% - Accent1 2" xfId="64"/>
    <cellStyle name="40% - Accent1 2 2" xfId="611"/>
    <cellStyle name="40% - Accent1 2 3" xfId="610"/>
    <cellStyle name="40% - Accent1 3" xfId="231"/>
    <cellStyle name="40% - Accent1 3 2" xfId="377"/>
    <cellStyle name="40% - Accent1 3 3" xfId="428"/>
    <cellStyle name="40% - Accent1 3 4" xfId="485"/>
    <cellStyle name="40% - Accent1 3 5" xfId="612"/>
    <cellStyle name="40% - Accent1 4" xfId="359"/>
    <cellStyle name="40% - Accent1 4 2" xfId="613"/>
    <cellStyle name="40% - Accent1 5" xfId="411"/>
    <cellStyle name="40% - Accent1 5 2" xfId="614"/>
    <cellStyle name="40% - Accent1 6" xfId="456"/>
    <cellStyle name="40% - Accent1 6 2" xfId="615"/>
    <cellStyle name="40% - Accent1 7" xfId="616"/>
    <cellStyle name="40% - Accent1 8" xfId="617"/>
    <cellStyle name="40% - Accent2" xfId="39" builtinId="35" customBuiltin="1"/>
    <cellStyle name="40% - Accent2 2" xfId="65"/>
    <cellStyle name="40% - Accent2 2 2" xfId="618"/>
    <cellStyle name="40% - Accent2 3" xfId="233"/>
    <cellStyle name="40% - Accent2 3 2" xfId="379"/>
    <cellStyle name="40% - Accent2 3 3" xfId="430"/>
    <cellStyle name="40% - Accent2 3 4" xfId="487"/>
    <cellStyle name="40% - Accent2 3 5" xfId="619"/>
    <cellStyle name="40% - Accent2 4" xfId="361"/>
    <cellStyle name="40% - Accent2 4 2" xfId="620"/>
    <cellStyle name="40% - Accent2 5" xfId="413"/>
    <cellStyle name="40% - Accent2 5 2" xfId="621"/>
    <cellStyle name="40% - Accent2 6" xfId="458"/>
    <cellStyle name="40% - Accent2 6 2" xfId="622"/>
    <cellStyle name="40% - Accent3" xfId="43" builtinId="39" customBuiltin="1"/>
    <cellStyle name="40% - Accent3 2" xfId="66"/>
    <cellStyle name="40% - Accent3 2 2" xfId="624"/>
    <cellStyle name="40% - Accent3 2 3" xfId="623"/>
    <cellStyle name="40% - Accent3 3" xfId="235"/>
    <cellStyle name="40% - Accent3 3 2" xfId="381"/>
    <cellStyle name="40% - Accent3 3 3" xfId="432"/>
    <cellStyle name="40% - Accent3 3 4" xfId="489"/>
    <cellStyle name="40% - Accent3 3 5" xfId="625"/>
    <cellStyle name="40% - Accent3 4" xfId="363"/>
    <cellStyle name="40% - Accent3 4 2" xfId="626"/>
    <cellStyle name="40% - Accent3 5" xfId="415"/>
    <cellStyle name="40% - Accent3 5 2" xfId="627"/>
    <cellStyle name="40% - Accent3 6" xfId="460"/>
    <cellStyle name="40% - Accent3 6 2" xfId="628"/>
    <cellStyle name="40% - Accent3 7" xfId="629"/>
    <cellStyle name="40% - Accent3 8" xfId="630"/>
    <cellStyle name="40% - Accent4" xfId="47" builtinId="43" customBuiltin="1"/>
    <cellStyle name="40% - Accent4 2" xfId="67"/>
    <cellStyle name="40% - Accent4 2 2" xfId="632"/>
    <cellStyle name="40% - Accent4 2 3" xfId="631"/>
    <cellStyle name="40% - Accent4 3" xfId="237"/>
    <cellStyle name="40% - Accent4 3 2" xfId="383"/>
    <cellStyle name="40% - Accent4 3 3" xfId="434"/>
    <cellStyle name="40% - Accent4 3 4" xfId="491"/>
    <cellStyle name="40% - Accent4 3 5" xfId="633"/>
    <cellStyle name="40% - Accent4 4" xfId="365"/>
    <cellStyle name="40% - Accent4 4 2" xfId="634"/>
    <cellStyle name="40% - Accent4 5" xfId="417"/>
    <cellStyle name="40% - Accent4 5 2" xfId="635"/>
    <cellStyle name="40% - Accent4 6" xfId="462"/>
    <cellStyle name="40% - Accent4 6 2" xfId="636"/>
    <cellStyle name="40% - Accent4 7" xfId="637"/>
    <cellStyle name="40% - Accent4 8" xfId="638"/>
    <cellStyle name="40% - Accent5" xfId="51" builtinId="47" customBuiltin="1"/>
    <cellStyle name="40% - Accent5 2" xfId="68"/>
    <cellStyle name="40% - Accent5 2 2" xfId="639"/>
    <cellStyle name="40% - Accent5 3" xfId="239"/>
    <cellStyle name="40% - Accent5 3 2" xfId="385"/>
    <cellStyle name="40% - Accent5 3 3" xfId="436"/>
    <cellStyle name="40% - Accent5 3 4" xfId="493"/>
    <cellStyle name="40% - Accent5 3 5" xfId="640"/>
    <cellStyle name="40% - Accent5 4" xfId="367"/>
    <cellStyle name="40% - Accent5 4 2" xfId="641"/>
    <cellStyle name="40% - Accent5 5" xfId="419"/>
    <cellStyle name="40% - Accent5 5 2" xfId="642"/>
    <cellStyle name="40% - Accent5 6" xfId="464"/>
    <cellStyle name="40% - Accent5 6 2" xfId="643"/>
    <cellStyle name="40% - Accent6" xfId="55" builtinId="51" customBuiltin="1"/>
    <cellStyle name="40% - Accent6 2" xfId="69"/>
    <cellStyle name="40% - Accent6 2 2" xfId="645"/>
    <cellStyle name="40% - Accent6 2 3" xfId="644"/>
    <cellStyle name="40% - Accent6 3" xfId="241"/>
    <cellStyle name="40% - Accent6 3 2" xfId="387"/>
    <cellStyle name="40% - Accent6 3 3" xfId="438"/>
    <cellStyle name="40% - Accent6 3 4" xfId="495"/>
    <cellStyle name="40% - Accent6 3 5" xfId="646"/>
    <cellStyle name="40% - Accent6 4" xfId="369"/>
    <cellStyle name="40% - Accent6 4 2" xfId="647"/>
    <cellStyle name="40% - Accent6 5" xfId="421"/>
    <cellStyle name="40% - Accent6 5 2" xfId="648"/>
    <cellStyle name="40% - Accent6 6" xfId="466"/>
    <cellStyle name="40% - Accent6 6 2" xfId="649"/>
    <cellStyle name="40% - Accent6 7" xfId="650"/>
    <cellStyle name="40% - Accent6 8" xfId="651"/>
    <cellStyle name="60% - Accent1" xfId="36" builtinId="32" customBuiltin="1"/>
    <cellStyle name="60% - Accent1 2" xfId="70"/>
    <cellStyle name="60% - Accent1 2 2" xfId="652"/>
    <cellStyle name="60% - Accent1 3" xfId="653"/>
    <cellStyle name="60% - Accent1 4" xfId="654"/>
    <cellStyle name="60% - Accent1 5" xfId="655"/>
    <cellStyle name="60% - Accent1 6" xfId="656"/>
    <cellStyle name="60% - Accent1 7" xfId="657"/>
    <cellStyle name="60% - Accent1 8" xfId="658"/>
    <cellStyle name="60% - Accent2" xfId="40" builtinId="36" customBuiltin="1"/>
    <cellStyle name="60% - Accent2 2" xfId="71"/>
    <cellStyle name="60% - Accent2 3" xfId="659"/>
    <cellStyle name="60% - Accent2 4" xfId="660"/>
    <cellStyle name="60% - Accent2 5" xfId="661"/>
    <cellStyle name="60% - Accent2 6" xfId="662"/>
    <cellStyle name="60% - Accent3" xfId="44" builtinId="40" customBuiltin="1"/>
    <cellStyle name="60% - Accent3 2" xfId="72"/>
    <cellStyle name="60% - Accent3 2 2" xfId="663"/>
    <cellStyle name="60% - Accent3 3" xfId="664"/>
    <cellStyle name="60% - Accent3 4" xfId="665"/>
    <cellStyle name="60% - Accent3 5" xfId="666"/>
    <cellStyle name="60% - Accent3 6" xfId="667"/>
    <cellStyle name="60% - Accent3 7" xfId="668"/>
    <cellStyle name="60% - Accent3 8" xfId="669"/>
    <cellStyle name="60% - Accent4" xfId="48" builtinId="44" customBuiltin="1"/>
    <cellStyle name="60% - Accent4 2" xfId="73"/>
    <cellStyle name="60% - Accent4 2 2" xfId="670"/>
    <cellStyle name="60% - Accent4 3" xfId="671"/>
    <cellStyle name="60% - Accent4 4" xfId="672"/>
    <cellStyle name="60% - Accent4 5" xfId="673"/>
    <cellStyle name="60% - Accent4 6" xfId="674"/>
    <cellStyle name="60% - Accent4 7" xfId="675"/>
    <cellStyle name="60% - Accent4 8" xfId="676"/>
    <cellStyle name="60% - Accent5" xfId="52" builtinId="48" customBuiltin="1"/>
    <cellStyle name="60% - Accent5 2" xfId="74"/>
    <cellStyle name="60% - Accent5 3" xfId="677"/>
    <cellStyle name="60% - Accent5 4" xfId="678"/>
    <cellStyle name="60% - Accent5 5" xfId="679"/>
    <cellStyle name="60% - Accent5 6" xfId="680"/>
    <cellStyle name="60% - Accent6" xfId="56" builtinId="52" customBuiltin="1"/>
    <cellStyle name="60% - Accent6 2" xfId="75"/>
    <cellStyle name="60% - Accent6 2 2" xfId="681"/>
    <cellStyle name="60% - Accent6 3" xfId="682"/>
    <cellStyle name="60% - Accent6 4" xfId="683"/>
    <cellStyle name="60% - Accent6 5" xfId="684"/>
    <cellStyle name="60% - Accent6 6" xfId="685"/>
    <cellStyle name="60% - Accent6 7" xfId="686"/>
    <cellStyle name="60% - Accent6 8" xfId="687"/>
    <cellStyle name="Accent1" xfId="33" builtinId="29" customBuiltin="1"/>
    <cellStyle name="Accent1 2" xfId="76"/>
    <cellStyle name="Accent1 2 2" xfId="688"/>
    <cellStyle name="Accent1 3" xfId="689"/>
    <cellStyle name="Accent1 4" xfId="690"/>
    <cellStyle name="Accent1 5" xfId="691"/>
    <cellStyle name="Accent1 6" xfId="692"/>
    <cellStyle name="Accent1 7" xfId="693"/>
    <cellStyle name="Accent1 8" xfId="694"/>
    <cellStyle name="Accent2" xfId="37" builtinId="33" customBuiltin="1"/>
    <cellStyle name="Accent2 2" xfId="77"/>
    <cellStyle name="Accent2 3" xfId="695"/>
    <cellStyle name="Accent2 4" xfId="696"/>
    <cellStyle name="Accent2 5" xfId="697"/>
    <cellStyle name="Accent2 6" xfId="698"/>
    <cellStyle name="Accent3" xfId="41" builtinId="37" customBuiltin="1"/>
    <cellStyle name="Accent3 2" xfId="78"/>
    <cellStyle name="Accent3 3" xfId="699"/>
    <cellStyle name="Accent3 4" xfId="700"/>
    <cellStyle name="Accent3 5" xfId="701"/>
    <cellStyle name="Accent3 6" xfId="702"/>
    <cellStyle name="Accent4" xfId="45" builtinId="41" customBuiltin="1"/>
    <cellStyle name="Accent4 2" xfId="79"/>
    <cellStyle name="Accent4 2 2" xfId="703"/>
    <cellStyle name="Accent4 3" xfId="704"/>
    <cellStyle name="Accent4 4" xfId="705"/>
    <cellStyle name="Accent4 5" xfId="706"/>
    <cellStyle name="Accent4 6" xfId="707"/>
    <cellStyle name="Accent4 7" xfId="708"/>
    <cellStyle name="Accent4 8" xfId="709"/>
    <cellStyle name="Accent5" xfId="49" builtinId="45" customBuiltin="1"/>
    <cellStyle name="Accent5 2" xfId="80"/>
    <cellStyle name="Accent5 3" xfId="710"/>
    <cellStyle name="Accent5 4" xfId="711"/>
    <cellStyle name="Accent5 5" xfId="712"/>
    <cellStyle name="Accent5 6" xfId="713"/>
    <cellStyle name="Accent6" xfId="53" builtinId="49" customBuiltin="1"/>
    <cellStyle name="Accent6 2" xfId="81"/>
    <cellStyle name="Accent6 3" xfId="714"/>
    <cellStyle name="Accent6 4" xfId="715"/>
    <cellStyle name="Accent6 5" xfId="716"/>
    <cellStyle name="Accent6 6" xfId="717"/>
    <cellStyle name="Bad" xfId="23" builtinId="27" customBuiltin="1"/>
    <cellStyle name="Bad 2" xfId="82"/>
    <cellStyle name="Bad 2 2" xfId="718"/>
    <cellStyle name="Bad 3" xfId="719"/>
    <cellStyle name="Bad 4" xfId="720"/>
    <cellStyle name="Bad 5" xfId="721"/>
    <cellStyle name="Bad 6" xfId="722"/>
    <cellStyle name="Bad 7" xfId="723"/>
    <cellStyle name="Bad 8" xfId="724"/>
    <cellStyle name="Calculation" xfId="27" builtinId="22" customBuiltin="1"/>
    <cellStyle name="Calculation 2" xfId="83"/>
    <cellStyle name="Calculation 3" xfId="725"/>
    <cellStyle name="Calculation 4" xfId="726"/>
    <cellStyle name="Calculation 5" xfId="727"/>
    <cellStyle name="Calculation 6" xfId="728"/>
    <cellStyle name="Check Cell" xfId="29" builtinId="23" customBuiltin="1"/>
    <cellStyle name="Check Cell 2" xfId="84"/>
    <cellStyle name="Check Cell 2 2" xfId="729"/>
    <cellStyle name="Check Cell 3" xfId="730"/>
    <cellStyle name="Check Cell 4" xfId="731"/>
    <cellStyle name="Check Cell 5" xfId="732"/>
    <cellStyle name="Check Cell 6" xfId="733"/>
    <cellStyle name="Check Cell 7" xfId="734"/>
    <cellStyle name="Check Cell 8" xfId="735"/>
    <cellStyle name="Comma" xfId="1" builtinId="3"/>
    <cellStyle name="Comma 10" xfId="736"/>
    <cellStyle name="Comma 11" xfId="737"/>
    <cellStyle name="Comma 12" xfId="738"/>
    <cellStyle name="Comma 13" xfId="739"/>
    <cellStyle name="Comma 14" xfId="740"/>
    <cellStyle name="Comma 15" xfId="741"/>
    <cellStyle name="Comma 16" xfId="568"/>
    <cellStyle name="Comma 17" xfId="742"/>
    <cellStyle name="Comma 17 2" xfId="975"/>
    <cellStyle name="Comma 17 2 2" xfId="1024"/>
    <cellStyle name="Comma 17 2 2 2" xfId="1148"/>
    <cellStyle name="Comma 17 2 2 2 2" xfId="1396"/>
    <cellStyle name="Comma 17 2 2 2 2 2" xfId="1902"/>
    <cellStyle name="Comma 17 2 2 2 2 3" xfId="2410"/>
    <cellStyle name="Comma 17 2 2 2 3" xfId="1654"/>
    <cellStyle name="Comma 17 2 2 2 4" xfId="2162"/>
    <cellStyle name="Comma 17 2 2 3" xfId="1272"/>
    <cellStyle name="Comma 17 2 2 3 2" xfId="1778"/>
    <cellStyle name="Comma 17 2 2 3 3" xfId="2286"/>
    <cellStyle name="Comma 17 2 2 4" xfId="1530"/>
    <cellStyle name="Comma 17 2 2 5" xfId="2038"/>
    <cellStyle name="Comma 17 2 3" xfId="1107"/>
    <cellStyle name="Comma 17 2 3 2" xfId="1355"/>
    <cellStyle name="Comma 17 2 3 2 2" xfId="1861"/>
    <cellStyle name="Comma 17 2 3 2 3" xfId="2369"/>
    <cellStyle name="Comma 17 2 3 3" xfId="1613"/>
    <cellStyle name="Comma 17 2 3 4" xfId="2121"/>
    <cellStyle name="Comma 17 2 4" xfId="1231"/>
    <cellStyle name="Comma 17 2 4 2" xfId="1737"/>
    <cellStyle name="Comma 17 2 4 3" xfId="2245"/>
    <cellStyle name="Comma 17 2 5" xfId="1489"/>
    <cellStyle name="Comma 17 2 6" xfId="1997"/>
    <cellStyle name="Comma 17 3" xfId="1003"/>
    <cellStyle name="Comma 17 3 2" xfId="1025"/>
    <cellStyle name="Comma 17 3 2 2" xfId="1149"/>
    <cellStyle name="Comma 17 3 2 2 2" xfId="1397"/>
    <cellStyle name="Comma 17 3 2 2 2 2" xfId="1903"/>
    <cellStyle name="Comma 17 3 2 2 2 3" xfId="2411"/>
    <cellStyle name="Comma 17 3 2 2 3" xfId="1655"/>
    <cellStyle name="Comma 17 3 2 2 4" xfId="2163"/>
    <cellStyle name="Comma 17 3 2 3" xfId="1273"/>
    <cellStyle name="Comma 17 3 2 3 2" xfId="1779"/>
    <cellStyle name="Comma 17 3 2 3 3" xfId="2287"/>
    <cellStyle name="Comma 17 3 2 4" xfId="1531"/>
    <cellStyle name="Comma 17 3 2 5" xfId="2039"/>
    <cellStyle name="Comma 17 3 3" xfId="1127"/>
    <cellStyle name="Comma 17 3 3 2" xfId="1375"/>
    <cellStyle name="Comma 17 3 3 2 2" xfId="1881"/>
    <cellStyle name="Comma 17 3 3 2 3" xfId="2389"/>
    <cellStyle name="Comma 17 3 3 3" xfId="1633"/>
    <cellStyle name="Comma 17 3 3 4" xfId="2141"/>
    <cellStyle name="Comma 17 3 4" xfId="1251"/>
    <cellStyle name="Comma 17 3 4 2" xfId="1757"/>
    <cellStyle name="Comma 17 3 4 3" xfId="2265"/>
    <cellStyle name="Comma 17 3 5" xfId="1509"/>
    <cellStyle name="Comma 17 3 6" xfId="2017"/>
    <cellStyle name="Comma 17 4" xfId="1023"/>
    <cellStyle name="Comma 17 4 2" xfId="1147"/>
    <cellStyle name="Comma 17 4 2 2" xfId="1395"/>
    <cellStyle name="Comma 17 4 2 2 2" xfId="1901"/>
    <cellStyle name="Comma 17 4 2 2 3" xfId="2409"/>
    <cellStyle name="Comma 17 4 2 3" xfId="1653"/>
    <cellStyle name="Comma 17 4 2 4" xfId="2161"/>
    <cellStyle name="Comma 17 4 3" xfId="1271"/>
    <cellStyle name="Comma 17 4 3 2" xfId="1777"/>
    <cellStyle name="Comma 17 4 3 3" xfId="2285"/>
    <cellStyle name="Comma 17 4 4" xfId="1529"/>
    <cellStyle name="Comma 17 4 5" xfId="2037"/>
    <cellStyle name="Comma 17 5" xfId="1085"/>
    <cellStyle name="Comma 17 5 2" xfId="1333"/>
    <cellStyle name="Comma 17 5 2 2" xfId="1839"/>
    <cellStyle name="Comma 17 5 2 3" xfId="2347"/>
    <cellStyle name="Comma 17 5 3" xfId="1591"/>
    <cellStyle name="Comma 17 5 4" xfId="2099"/>
    <cellStyle name="Comma 17 6" xfId="1209"/>
    <cellStyle name="Comma 17 6 2" xfId="1715"/>
    <cellStyle name="Comma 17 6 3" xfId="2223"/>
    <cellStyle name="Comma 17 7" xfId="1467"/>
    <cellStyle name="Comma 17 8" xfId="1974"/>
    <cellStyle name="Comma 18" xfId="743"/>
    <cellStyle name="Comma 19" xfId="569"/>
    <cellStyle name="Comma 2" xfId="2"/>
    <cellStyle name="Comma 2 10" xfId="514"/>
    <cellStyle name="Comma 2 2" xfId="87"/>
    <cellStyle name="Comma 2 2 2" xfId="88"/>
    <cellStyle name="Comma 2 2 2 2" xfId="176"/>
    <cellStyle name="Comma 2 2 2 2 2" xfId="306"/>
    <cellStyle name="Comma 2 2 2 3" xfId="246"/>
    <cellStyle name="Comma 2 2 3" xfId="89"/>
    <cellStyle name="Comma 2 2 3 2" xfId="177"/>
    <cellStyle name="Comma 2 2 3 2 2" xfId="307"/>
    <cellStyle name="Comma 2 2 3 3" xfId="247"/>
    <cellStyle name="Comma 2 2 3 3 2" xfId="976"/>
    <cellStyle name="Comma 2 2 4" xfId="90"/>
    <cellStyle name="Comma 2 2 4 2" xfId="178"/>
    <cellStyle name="Comma 2 2 4 2 2" xfId="308"/>
    <cellStyle name="Comma 2 2 4 3" xfId="248"/>
    <cellStyle name="Comma 2 2 5" xfId="163"/>
    <cellStyle name="Comma 2 2 6" xfId="744"/>
    <cellStyle name="Comma 2 3" xfId="91"/>
    <cellStyle name="Comma 2 3 2" xfId="92"/>
    <cellStyle name="Comma 2 3 2 2" xfId="179"/>
    <cellStyle name="Comma 2 3 2 2 2" xfId="309"/>
    <cellStyle name="Comma 2 3 2 3" xfId="250"/>
    <cellStyle name="Comma 2 3 3" xfId="93"/>
    <cellStyle name="Comma 2 3 3 2" xfId="180"/>
    <cellStyle name="Comma 2 3 3 2 2" xfId="310"/>
    <cellStyle name="Comma 2 3 3 3" xfId="251"/>
    <cellStyle name="Comma 2 3 4" xfId="94"/>
    <cellStyle name="Comma 2 3 4 2" xfId="181"/>
    <cellStyle name="Comma 2 3 4 2 2" xfId="311"/>
    <cellStyle name="Comma 2 3 4 3" xfId="252"/>
    <cellStyle name="Comma 2 3 5" xfId="249"/>
    <cellStyle name="Comma 2 4" xfId="95"/>
    <cellStyle name="Comma 2 4 2" xfId="182"/>
    <cellStyle name="Comma 2 4 2 2" xfId="312"/>
    <cellStyle name="Comma 2 4 3" xfId="253"/>
    <cellStyle name="Comma 2 4 3 2" xfId="745"/>
    <cellStyle name="Comma 2 5" xfId="96"/>
    <cellStyle name="Comma 2 5 2" xfId="183"/>
    <cellStyle name="Comma 2 5 2 2" xfId="313"/>
    <cellStyle name="Comma 2 5 3" xfId="254"/>
    <cellStyle name="Comma 2 6" xfId="97"/>
    <cellStyle name="Comma 2 6 2" xfId="184"/>
    <cellStyle name="Comma 2 6 2 2" xfId="314"/>
    <cellStyle name="Comma 2 6 3" xfId="255"/>
    <cellStyle name="Comma 2 7" xfId="155"/>
    <cellStyle name="Comma 2 8" xfId="161"/>
    <cellStyle name="Comma 2 8 2" xfId="296"/>
    <cellStyle name="Comma 2 9" xfId="86"/>
    <cellStyle name="Comma 2 9 2" xfId="558"/>
    <cellStyle name="Comma 2_Allocators" xfId="746"/>
    <cellStyle name="Comma 20" xfId="747"/>
    <cellStyle name="Comma 20 2" xfId="977"/>
    <cellStyle name="Comma 20 2 2" xfId="1027"/>
    <cellStyle name="Comma 20 2 2 2" xfId="1151"/>
    <cellStyle name="Comma 20 2 2 2 2" xfId="1399"/>
    <cellStyle name="Comma 20 2 2 2 2 2" xfId="1905"/>
    <cellStyle name="Comma 20 2 2 2 2 3" xfId="2413"/>
    <cellStyle name="Comma 20 2 2 2 3" xfId="1657"/>
    <cellStyle name="Comma 20 2 2 2 4" xfId="2165"/>
    <cellStyle name="Comma 20 2 2 3" xfId="1275"/>
    <cellStyle name="Comma 20 2 2 3 2" xfId="1781"/>
    <cellStyle name="Comma 20 2 2 3 3" xfId="2289"/>
    <cellStyle name="Comma 20 2 2 4" xfId="1533"/>
    <cellStyle name="Comma 20 2 2 5" xfId="2041"/>
    <cellStyle name="Comma 20 2 3" xfId="1108"/>
    <cellStyle name="Comma 20 2 3 2" xfId="1356"/>
    <cellStyle name="Comma 20 2 3 2 2" xfId="1862"/>
    <cellStyle name="Comma 20 2 3 2 3" xfId="2370"/>
    <cellStyle name="Comma 20 2 3 3" xfId="1614"/>
    <cellStyle name="Comma 20 2 3 4" xfId="2122"/>
    <cellStyle name="Comma 20 2 4" xfId="1232"/>
    <cellStyle name="Comma 20 2 4 2" xfId="1738"/>
    <cellStyle name="Comma 20 2 4 3" xfId="2246"/>
    <cellStyle name="Comma 20 2 5" xfId="1490"/>
    <cellStyle name="Comma 20 2 6" xfId="1998"/>
    <cellStyle name="Comma 20 3" xfId="1004"/>
    <cellStyle name="Comma 20 3 2" xfId="1028"/>
    <cellStyle name="Comma 20 3 2 2" xfId="1152"/>
    <cellStyle name="Comma 20 3 2 2 2" xfId="1400"/>
    <cellStyle name="Comma 20 3 2 2 2 2" xfId="1906"/>
    <cellStyle name="Comma 20 3 2 2 2 3" xfId="2414"/>
    <cellStyle name="Comma 20 3 2 2 3" xfId="1658"/>
    <cellStyle name="Comma 20 3 2 2 4" xfId="2166"/>
    <cellStyle name="Comma 20 3 2 3" xfId="1276"/>
    <cellStyle name="Comma 20 3 2 3 2" xfId="1782"/>
    <cellStyle name="Comma 20 3 2 3 3" xfId="2290"/>
    <cellStyle name="Comma 20 3 2 4" xfId="1534"/>
    <cellStyle name="Comma 20 3 2 5" xfId="2042"/>
    <cellStyle name="Comma 20 3 3" xfId="1128"/>
    <cellStyle name="Comma 20 3 3 2" xfId="1376"/>
    <cellStyle name="Comma 20 3 3 2 2" xfId="1882"/>
    <cellStyle name="Comma 20 3 3 2 3" xfId="2390"/>
    <cellStyle name="Comma 20 3 3 3" xfId="1634"/>
    <cellStyle name="Comma 20 3 3 4" xfId="2142"/>
    <cellStyle name="Comma 20 3 4" xfId="1252"/>
    <cellStyle name="Comma 20 3 4 2" xfId="1758"/>
    <cellStyle name="Comma 20 3 4 3" xfId="2266"/>
    <cellStyle name="Comma 20 3 5" xfId="1510"/>
    <cellStyle name="Comma 20 3 6" xfId="2018"/>
    <cellStyle name="Comma 20 4" xfId="1026"/>
    <cellStyle name="Comma 20 4 2" xfId="1150"/>
    <cellStyle name="Comma 20 4 2 2" xfId="1398"/>
    <cellStyle name="Comma 20 4 2 2 2" xfId="1904"/>
    <cellStyle name="Comma 20 4 2 2 3" xfId="2412"/>
    <cellStyle name="Comma 20 4 2 3" xfId="1656"/>
    <cellStyle name="Comma 20 4 2 4" xfId="2164"/>
    <cellStyle name="Comma 20 4 3" xfId="1274"/>
    <cellStyle name="Comma 20 4 3 2" xfId="1780"/>
    <cellStyle name="Comma 20 4 3 3" xfId="2288"/>
    <cellStyle name="Comma 20 4 4" xfId="1532"/>
    <cellStyle name="Comma 20 4 5" xfId="2040"/>
    <cellStyle name="Comma 20 5" xfId="1086"/>
    <cellStyle name="Comma 20 5 2" xfId="1334"/>
    <cellStyle name="Comma 20 5 2 2" xfId="1840"/>
    <cellStyle name="Comma 20 5 2 3" xfId="2348"/>
    <cellStyle name="Comma 20 5 3" xfId="1592"/>
    <cellStyle name="Comma 20 5 4" xfId="2100"/>
    <cellStyle name="Comma 20 6" xfId="1210"/>
    <cellStyle name="Comma 20 6 2" xfId="1716"/>
    <cellStyle name="Comma 20 6 3" xfId="2224"/>
    <cellStyle name="Comma 20 7" xfId="1468"/>
    <cellStyle name="Comma 20 8" xfId="1975"/>
    <cellStyle name="Comma 3" xfId="98"/>
    <cellStyle name="Comma 3 10" xfId="971"/>
    <cellStyle name="Comma 3 10 2" xfId="1001"/>
    <cellStyle name="Comma 3 10 2 2" xfId="1030"/>
    <cellStyle name="Comma 3 10 2 2 2" xfId="1154"/>
    <cellStyle name="Comma 3 10 2 2 2 2" xfId="1402"/>
    <cellStyle name="Comma 3 10 2 2 2 2 2" xfId="1908"/>
    <cellStyle name="Comma 3 10 2 2 2 2 3" xfId="2416"/>
    <cellStyle name="Comma 3 10 2 2 2 3" xfId="1660"/>
    <cellStyle name="Comma 3 10 2 2 2 4" xfId="2168"/>
    <cellStyle name="Comma 3 10 2 2 3" xfId="1278"/>
    <cellStyle name="Comma 3 10 2 2 3 2" xfId="1784"/>
    <cellStyle name="Comma 3 10 2 2 3 3" xfId="2292"/>
    <cellStyle name="Comma 3 10 2 2 4" xfId="1536"/>
    <cellStyle name="Comma 3 10 2 2 5" xfId="2044"/>
    <cellStyle name="Comma 3 10 2 3" xfId="1125"/>
    <cellStyle name="Comma 3 10 2 3 2" xfId="1373"/>
    <cellStyle name="Comma 3 10 2 3 2 2" xfId="1879"/>
    <cellStyle name="Comma 3 10 2 3 2 3" xfId="2387"/>
    <cellStyle name="Comma 3 10 2 3 3" xfId="1631"/>
    <cellStyle name="Comma 3 10 2 3 4" xfId="2139"/>
    <cellStyle name="Comma 3 10 2 4" xfId="1249"/>
    <cellStyle name="Comma 3 10 2 4 2" xfId="1755"/>
    <cellStyle name="Comma 3 10 2 4 3" xfId="2263"/>
    <cellStyle name="Comma 3 10 2 5" xfId="1507"/>
    <cellStyle name="Comma 3 10 2 6" xfId="2015"/>
    <cellStyle name="Comma 3 10 3" xfId="1021"/>
    <cellStyle name="Comma 3 10 3 2" xfId="1031"/>
    <cellStyle name="Comma 3 10 3 2 2" xfId="1155"/>
    <cellStyle name="Comma 3 10 3 2 2 2" xfId="1403"/>
    <cellStyle name="Comma 3 10 3 2 2 2 2" xfId="1909"/>
    <cellStyle name="Comma 3 10 3 2 2 2 3" xfId="2417"/>
    <cellStyle name="Comma 3 10 3 2 2 3" xfId="1661"/>
    <cellStyle name="Comma 3 10 3 2 2 4" xfId="2169"/>
    <cellStyle name="Comma 3 10 3 2 3" xfId="1279"/>
    <cellStyle name="Comma 3 10 3 2 3 2" xfId="1785"/>
    <cellStyle name="Comma 3 10 3 2 3 3" xfId="2293"/>
    <cellStyle name="Comma 3 10 3 2 4" xfId="1537"/>
    <cellStyle name="Comma 3 10 3 2 5" xfId="2045"/>
    <cellStyle name="Comma 3 10 3 3" xfId="1145"/>
    <cellStyle name="Comma 3 10 3 3 2" xfId="1393"/>
    <cellStyle name="Comma 3 10 3 3 2 2" xfId="1899"/>
    <cellStyle name="Comma 3 10 3 3 2 3" xfId="2407"/>
    <cellStyle name="Comma 3 10 3 3 3" xfId="1651"/>
    <cellStyle name="Comma 3 10 3 3 4" xfId="2159"/>
    <cellStyle name="Comma 3 10 3 4" xfId="1269"/>
    <cellStyle name="Comma 3 10 3 4 2" xfId="1775"/>
    <cellStyle name="Comma 3 10 3 4 3" xfId="2283"/>
    <cellStyle name="Comma 3 10 3 5" xfId="1527"/>
    <cellStyle name="Comma 3 10 3 6" xfId="2035"/>
    <cellStyle name="Comma 3 10 4" xfId="1029"/>
    <cellStyle name="Comma 3 10 4 2" xfId="1153"/>
    <cellStyle name="Comma 3 10 4 2 2" xfId="1401"/>
    <cellStyle name="Comma 3 10 4 2 2 2" xfId="1907"/>
    <cellStyle name="Comma 3 10 4 2 2 3" xfId="2415"/>
    <cellStyle name="Comma 3 10 4 2 3" xfId="1659"/>
    <cellStyle name="Comma 3 10 4 2 4" xfId="2167"/>
    <cellStyle name="Comma 3 10 4 3" xfId="1277"/>
    <cellStyle name="Comma 3 10 4 3 2" xfId="1783"/>
    <cellStyle name="Comma 3 10 4 3 3" xfId="2291"/>
    <cellStyle name="Comma 3 10 4 4" xfId="1535"/>
    <cellStyle name="Comma 3 10 4 5" xfId="2043"/>
    <cellStyle name="Comma 3 10 5" xfId="1103"/>
    <cellStyle name="Comma 3 10 5 2" xfId="1351"/>
    <cellStyle name="Comma 3 10 5 2 2" xfId="1857"/>
    <cellStyle name="Comma 3 10 5 2 3" xfId="2365"/>
    <cellStyle name="Comma 3 10 5 3" xfId="1609"/>
    <cellStyle name="Comma 3 10 5 4" xfId="2117"/>
    <cellStyle name="Comma 3 10 6" xfId="1227"/>
    <cellStyle name="Comma 3 10 6 2" xfId="1733"/>
    <cellStyle name="Comma 3 10 6 3" xfId="2241"/>
    <cellStyle name="Comma 3 10 7" xfId="1485"/>
    <cellStyle name="Comma 3 10 8" xfId="1993"/>
    <cellStyle name="Comma 3 11" xfId="978"/>
    <cellStyle name="Comma 3 12" xfId="973"/>
    <cellStyle name="Comma 3 12 2" xfId="1032"/>
    <cellStyle name="Comma 3 12 2 2" xfId="1156"/>
    <cellStyle name="Comma 3 12 2 2 2" xfId="1404"/>
    <cellStyle name="Comma 3 12 2 2 2 2" xfId="1910"/>
    <cellStyle name="Comma 3 12 2 2 2 3" xfId="2418"/>
    <cellStyle name="Comma 3 12 2 2 3" xfId="1662"/>
    <cellStyle name="Comma 3 12 2 2 4" xfId="2170"/>
    <cellStyle name="Comma 3 12 2 3" xfId="1280"/>
    <cellStyle name="Comma 3 12 2 3 2" xfId="1786"/>
    <cellStyle name="Comma 3 12 2 3 3" xfId="2294"/>
    <cellStyle name="Comma 3 12 2 4" xfId="1538"/>
    <cellStyle name="Comma 3 12 2 5" xfId="2046"/>
    <cellStyle name="Comma 3 12 3" xfId="1105"/>
    <cellStyle name="Comma 3 12 3 2" xfId="1353"/>
    <cellStyle name="Comma 3 12 3 2 2" xfId="1859"/>
    <cellStyle name="Comma 3 12 3 2 3" xfId="2367"/>
    <cellStyle name="Comma 3 12 3 3" xfId="1611"/>
    <cellStyle name="Comma 3 12 3 4" xfId="2119"/>
    <cellStyle name="Comma 3 12 4" xfId="1229"/>
    <cellStyle name="Comma 3 12 4 2" xfId="1735"/>
    <cellStyle name="Comma 3 12 4 3" xfId="2243"/>
    <cellStyle name="Comma 3 12 5" xfId="1487"/>
    <cellStyle name="Comma 3 12 6" xfId="1995"/>
    <cellStyle name="Comma 3 2" xfId="99"/>
    <cellStyle name="Comma 3 2 2" xfId="185"/>
    <cellStyle name="Comma 3 2 2 2" xfId="315"/>
    <cellStyle name="Comma 3 2 3" xfId="257"/>
    <cellStyle name="Comma 3 3" xfId="100"/>
    <cellStyle name="Comma 3 3 2" xfId="186"/>
    <cellStyle name="Comma 3 3 2 2" xfId="316"/>
    <cellStyle name="Comma 3 3 3" xfId="258"/>
    <cellStyle name="Comma 3 4" xfId="101"/>
    <cellStyle name="Comma 3 4 2" xfId="187"/>
    <cellStyle name="Comma 3 4 2 2" xfId="317"/>
    <cellStyle name="Comma 3 4 2 2 2" xfId="1158"/>
    <cellStyle name="Comma 3 4 2 2 2 2" xfId="1406"/>
    <cellStyle name="Comma 3 4 2 2 2 2 2" xfId="1912"/>
    <cellStyle name="Comma 3 4 2 2 2 2 3" xfId="2420"/>
    <cellStyle name="Comma 3 4 2 2 2 3" xfId="1664"/>
    <cellStyle name="Comma 3 4 2 2 2 4" xfId="2172"/>
    <cellStyle name="Comma 3 4 2 2 3" xfId="1282"/>
    <cellStyle name="Comma 3 4 2 2 3 2" xfId="1788"/>
    <cellStyle name="Comma 3 4 2 2 3 3" xfId="2296"/>
    <cellStyle name="Comma 3 4 2 2 4" xfId="1540"/>
    <cellStyle name="Comma 3 4 2 2 5" xfId="2048"/>
    <cellStyle name="Comma 3 4 2 2 6" xfId="1034"/>
    <cellStyle name="Comma 3 4 2 3" xfId="1113"/>
    <cellStyle name="Comma 3 4 2 3 2" xfId="1361"/>
    <cellStyle name="Comma 3 4 2 3 2 2" xfId="1867"/>
    <cellStyle name="Comma 3 4 2 3 2 3" xfId="2375"/>
    <cellStyle name="Comma 3 4 2 3 3" xfId="1619"/>
    <cellStyle name="Comma 3 4 2 3 4" xfId="2127"/>
    <cellStyle name="Comma 3 4 2 4" xfId="989"/>
    <cellStyle name="Comma 3 4 2 4 2" xfId="1495"/>
    <cellStyle name="Comma 3 4 2 4 3" xfId="2003"/>
    <cellStyle name="Comma 3 4 2 5" xfId="1237"/>
    <cellStyle name="Comma 3 4 2 5 2" xfId="1743"/>
    <cellStyle name="Comma 3 4 2 5 3" xfId="2251"/>
    <cellStyle name="Comma 3 4 3" xfId="259"/>
    <cellStyle name="Comma 3 4 3 2" xfId="1035"/>
    <cellStyle name="Comma 3 4 3 2 2" xfId="1159"/>
    <cellStyle name="Comma 3 4 3 2 2 2" xfId="1407"/>
    <cellStyle name="Comma 3 4 3 2 2 2 2" xfId="1913"/>
    <cellStyle name="Comma 3 4 3 2 2 2 3" xfId="2421"/>
    <cellStyle name="Comma 3 4 3 2 2 3" xfId="1665"/>
    <cellStyle name="Comma 3 4 3 2 2 4" xfId="2173"/>
    <cellStyle name="Comma 3 4 3 2 3" xfId="1283"/>
    <cellStyle name="Comma 3 4 3 2 3 2" xfId="1789"/>
    <cellStyle name="Comma 3 4 3 2 3 3" xfId="2297"/>
    <cellStyle name="Comma 3 4 3 2 4" xfId="1541"/>
    <cellStyle name="Comma 3 4 3 2 5" xfId="2049"/>
    <cellStyle name="Comma 3 4 3 3" xfId="1133"/>
    <cellStyle name="Comma 3 4 3 3 2" xfId="1381"/>
    <cellStyle name="Comma 3 4 3 3 2 2" xfId="1887"/>
    <cellStyle name="Comma 3 4 3 3 2 3" xfId="2395"/>
    <cellStyle name="Comma 3 4 3 3 3" xfId="1639"/>
    <cellStyle name="Comma 3 4 3 3 4" xfId="2147"/>
    <cellStyle name="Comma 3 4 3 4" xfId="1257"/>
    <cellStyle name="Comma 3 4 3 4 2" xfId="1763"/>
    <cellStyle name="Comma 3 4 3 4 3" xfId="2271"/>
    <cellStyle name="Comma 3 4 3 5" xfId="1515"/>
    <cellStyle name="Comma 3 4 3 6" xfId="2023"/>
    <cellStyle name="Comma 3 4 3 7" xfId="1009"/>
    <cellStyle name="Comma 3 4 4" xfId="1033"/>
    <cellStyle name="Comma 3 4 4 2" xfId="1157"/>
    <cellStyle name="Comma 3 4 4 2 2" xfId="1405"/>
    <cellStyle name="Comma 3 4 4 2 2 2" xfId="1911"/>
    <cellStyle name="Comma 3 4 4 2 2 3" xfId="2419"/>
    <cellStyle name="Comma 3 4 4 2 3" xfId="1663"/>
    <cellStyle name="Comma 3 4 4 2 4" xfId="2171"/>
    <cellStyle name="Comma 3 4 4 3" xfId="1281"/>
    <cellStyle name="Comma 3 4 4 3 2" xfId="1787"/>
    <cellStyle name="Comma 3 4 4 3 3" xfId="2295"/>
    <cellStyle name="Comma 3 4 4 4" xfId="1539"/>
    <cellStyle name="Comma 3 4 4 5" xfId="2047"/>
    <cellStyle name="Comma 3 4 5" xfId="1091"/>
    <cellStyle name="Comma 3 4 5 2" xfId="1339"/>
    <cellStyle name="Comma 3 4 5 2 2" xfId="1845"/>
    <cellStyle name="Comma 3 4 5 2 3" xfId="2353"/>
    <cellStyle name="Comma 3 4 5 3" xfId="1597"/>
    <cellStyle name="Comma 3 4 5 4" xfId="2105"/>
    <cellStyle name="Comma 3 4 6" xfId="958"/>
    <cellStyle name="Comma 3 4 6 2" xfId="1473"/>
    <cellStyle name="Comma 3 4 6 3" xfId="1981"/>
    <cellStyle name="Comma 3 4 7" xfId="1215"/>
    <cellStyle name="Comma 3 4 7 2" xfId="1721"/>
    <cellStyle name="Comma 3 4 7 3" xfId="2229"/>
    <cellStyle name="Comma 3 5" xfId="164"/>
    <cellStyle name="Comma 3 5 10" xfId="1966"/>
    <cellStyle name="Comma 3 5 11" xfId="516"/>
    <cellStyle name="Comma 3 5 2" xfId="214"/>
    <cellStyle name="Comma 3 5 2 2" xfId="344"/>
    <cellStyle name="Comma 3 5 2 2 2" xfId="397"/>
    <cellStyle name="Comma 3 5 2 2 2 2" xfId="1409"/>
    <cellStyle name="Comma 3 5 2 2 2 2 2" xfId="1915"/>
    <cellStyle name="Comma 3 5 2 2 2 2 3" xfId="2423"/>
    <cellStyle name="Comma 3 5 2 2 2 3" xfId="1667"/>
    <cellStyle name="Comma 3 5 2 2 2 4" xfId="2175"/>
    <cellStyle name="Comma 3 5 2 2 2 5" xfId="1161"/>
    <cellStyle name="Comma 3 5 2 2 3" xfId="448"/>
    <cellStyle name="Comma 3 5 2 2 3 2" xfId="1791"/>
    <cellStyle name="Comma 3 5 2 2 3 3" xfId="2299"/>
    <cellStyle name="Comma 3 5 2 2 3 4" xfId="1285"/>
    <cellStyle name="Comma 3 5 2 2 4" xfId="505"/>
    <cellStyle name="Comma 3 5 2 2 4 2" xfId="1543"/>
    <cellStyle name="Comma 3 5 2 2 5" xfId="2051"/>
    <cellStyle name="Comma 3 5 2 2 6" xfId="1037"/>
    <cellStyle name="Comma 3 5 2 3" xfId="356"/>
    <cellStyle name="Comma 3 5 2 3 2" xfId="1363"/>
    <cellStyle name="Comma 3 5 2 3 2 2" xfId="1869"/>
    <cellStyle name="Comma 3 5 2 3 2 3" xfId="2377"/>
    <cellStyle name="Comma 3 5 2 3 3" xfId="1621"/>
    <cellStyle name="Comma 3 5 2 3 4" xfId="2129"/>
    <cellStyle name="Comma 3 5 2 3 5" xfId="1115"/>
    <cellStyle name="Comma 3 5 2 4" xfId="408"/>
    <cellStyle name="Comma 3 5 2 4 2" xfId="1497"/>
    <cellStyle name="Comma 3 5 2 4 3" xfId="2005"/>
    <cellStyle name="Comma 3 5 2 4 4" xfId="991"/>
    <cellStyle name="Comma 3 5 2 5" xfId="476"/>
    <cellStyle name="Comma 3 5 2 5 2" xfId="1745"/>
    <cellStyle name="Comma 3 5 2 5 3" xfId="2253"/>
    <cellStyle name="Comma 3 5 2 5 4" xfId="1239"/>
    <cellStyle name="Comma 3 5 2 6" xfId="555"/>
    <cellStyle name="Comma 3 5 2 7" xfId="1463"/>
    <cellStyle name="Comma 3 5 2 8" xfId="1970"/>
    <cellStyle name="Comma 3 5 2 9" xfId="517"/>
    <cellStyle name="Comma 3 5 3" xfId="298"/>
    <cellStyle name="Comma 3 5 3 2" xfId="393"/>
    <cellStyle name="Comma 3 5 3 2 2" xfId="1162"/>
    <cellStyle name="Comma 3 5 3 2 2 2" xfId="1410"/>
    <cellStyle name="Comma 3 5 3 2 2 2 2" xfId="1916"/>
    <cellStyle name="Comma 3 5 3 2 2 2 3" xfId="2424"/>
    <cellStyle name="Comma 3 5 3 2 2 3" xfId="1668"/>
    <cellStyle name="Comma 3 5 3 2 2 4" xfId="2176"/>
    <cellStyle name="Comma 3 5 3 2 3" xfId="1286"/>
    <cellStyle name="Comma 3 5 3 2 3 2" xfId="1792"/>
    <cellStyle name="Comma 3 5 3 2 3 3" xfId="2300"/>
    <cellStyle name="Comma 3 5 3 2 4" xfId="1544"/>
    <cellStyle name="Comma 3 5 3 2 5" xfId="2052"/>
    <cellStyle name="Comma 3 5 3 2 6" xfId="1038"/>
    <cellStyle name="Comma 3 5 3 3" xfId="444"/>
    <cellStyle name="Comma 3 5 3 3 2" xfId="1383"/>
    <cellStyle name="Comma 3 5 3 3 2 2" xfId="1889"/>
    <cellStyle name="Comma 3 5 3 3 2 3" xfId="2397"/>
    <cellStyle name="Comma 3 5 3 3 3" xfId="1641"/>
    <cellStyle name="Comma 3 5 3 3 4" xfId="2149"/>
    <cellStyle name="Comma 3 5 3 3 5" xfId="1135"/>
    <cellStyle name="Comma 3 5 3 4" xfId="501"/>
    <cellStyle name="Comma 3 5 3 4 2" xfId="1765"/>
    <cellStyle name="Comma 3 5 3 4 3" xfId="2273"/>
    <cellStyle name="Comma 3 5 3 4 4" xfId="1259"/>
    <cellStyle name="Comma 3 5 3 5" xfId="1517"/>
    <cellStyle name="Comma 3 5 3 6" xfId="2025"/>
    <cellStyle name="Comma 3 5 3 7" xfId="1011"/>
    <cellStyle name="Comma 3 5 4" xfId="352"/>
    <cellStyle name="Comma 3 5 4 2" xfId="1160"/>
    <cellStyle name="Comma 3 5 4 2 2" xfId="1408"/>
    <cellStyle name="Comma 3 5 4 2 2 2" xfId="1914"/>
    <cellStyle name="Comma 3 5 4 2 2 3" xfId="2422"/>
    <cellStyle name="Comma 3 5 4 2 3" xfId="1666"/>
    <cellStyle name="Comma 3 5 4 2 4" xfId="2174"/>
    <cellStyle name="Comma 3 5 4 3" xfId="1284"/>
    <cellStyle name="Comma 3 5 4 3 2" xfId="1790"/>
    <cellStyle name="Comma 3 5 4 3 3" xfId="2298"/>
    <cellStyle name="Comma 3 5 4 4" xfId="1542"/>
    <cellStyle name="Comma 3 5 4 5" xfId="2050"/>
    <cellStyle name="Comma 3 5 4 6" xfId="1036"/>
    <cellStyle name="Comma 3 5 5" xfId="404"/>
    <cellStyle name="Comma 3 5 5 2" xfId="1341"/>
    <cellStyle name="Comma 3 5 5 2 2" xfId="1847"/>
    <cellStyle name="Comma 3 5 5 2 3" xfId="2355"/>
    <cellStyle name="Comma 3 5 5 3" xfId="1599"/>
    <cellStyle name="Comma 3 5 5 4" xfId="2107"/>
    <cellStyle name="Comma 3 5 5 5" xfId="1093"/>
    <cellStyle name="Comma 3 5 6" xfId="472"/>
    <cellStyle name="Comma 3 5 6 2" xfId="1475"/>
    <cellStyle name="Comma 3 5 6 3" xfId="1983"/>
    <cellStyle name="Comma 3 5 6 4" xfId="961"/>
    <cellStyle name="Comma 3 5 7" xfId="1217"/>
    <cellStyle name="Comma 3 5 7 2" xfId="1723"/>
    <cellStyle name="Comma 3 5 7 3" xfId="2231"/>
    <cellStyle name="Comma 3 5 8" xfId="551"/>
    <cellStyle name="Comma 3 5 9" xfId="1459"/>
    <cellStyle name="Comma 3 6" xfId="256"/>
    <cellStyle name="Comma 3 6 10" xfId="560"/>
    <cellStyle name="Comma 3 6 2" xfId="993"/>
    <cellStyle name="Comma 3 6 2 2" xfId="1040"/>
    <cellStyle name="Comma 3 6 2 2 2" xfId="1164"/>
    <cellStyle name="Comma 3 6 2 2 2 2" xfId="1412"/>
    <cellStyle name="Comma 3 6 2 2 2 2 2" xfId="1918"/>
    <cellStyle name="Comma 3 6 2 2 2 2 3" xfId="2426"/>
    <cellStyle name="Comma 3 6 2 2 2 3" xfId="1670"/>
    <cellStyle name="Comma 3 6 2 2 2 4" xfId="2178"/>
    <cellStyle name="Comma 3 6 2 2 3" xfId="1288"/>
    <cellStyle name="Comma 3 6 2 2 3 2" xfId="1794"/>
    <cellStyle name="Comma 3 6 2 2 3 3" xfId="2302"/>
    <cellStyle name="Comma 3 6 2 2 4" xfId="1546"/>
    <cellStyle name="Comma 3 6 2 2 5" xfId="2054"/>
    <cellStyle name="Comma 3 6 2 3" xfId="1117"/>
    <cellStyle name="Comma 3 6 2 3 2" xfId="1365"/>
    <cellStyle name="Comma 3 6 2 3 2 2" xfId="1871"/>
    <cellStyle name="Comma 3 6 2 3 2 3" xfId="2379"/>
    <cellStyle name="Comma 3 6 2 3 3" xfId="1623"/>
    <cellStyle name="Comma 3 6 2 3 4" xfId="2131"/>
    <cellStyle name="Comma 3 6 2 4" xfId="1241"/>
    <cellStyle name="Comma 3 6 2 4 2" xfId="1747"/>
    <cellStyle name="Comma 3 6 2 4 3" xfId="2255"/>
    <cellStyle name="Comma 3 6 2 5" xfId="1499"/>
    <cellStyle name="Comma 3 6 2 6" xfId="2007"/>
    <cellStyle name="Comma 3 6 3" xfId="1013"/>
    <cellStyle name="Comma 3 6 3 2" xfId="1041"/>
    <cellStyle name="Comma 3 6 3 2 2" xfId="1165"/>
    <cellStyle name="Comma 3 6 3 2 2 2" xfId="1413"/>
    <cellStyle name="Comma 3 6 3 2 2 2 2" xfId="1919"/>
    <cellStyle name="Comma 3 6 3 2 2 2 3" xfId="2427"/>
    <cellStyle name="Comma 3 6 3 2 2 3" xfId="1671"/>
    <cellStyle name="Comma 3 6 3 2 2 4" xfId="2179"/>
    <cellStyle name="Comma 3 6 3 2 3" xfId="1289"/>
    <cellStyle name="Comma 3 6 3 2 3 2" xfId="1795"/>
    <cellStyle name="Comma 3 6 3 2 3 3" xfId="2303"/>
    <cellStyle name="Comma 3 6 3 2 4" xfId="1547"/>
    <cellStyle name="Comma 3 6 3 2 5" xfId="2055"/>
    <cellStyle name="Comma 3 6 3 3" xfId="1137"/>
    <cellStyle name="Comma 3 6 3 3 2" xfId="1385"/>
    <cellStyle name="Comma 3 6 3 3 2 2" xfId="1891"/>
    <cellStyle name="Comma 3 6 3 3 2 3" xfId="2399"/>
    <cellStyle name="Comma 3 6 3 3 3" xfId="1643"/>
    <cellStyle name="Comma 3 6 3 3 4" xfId="2151"/>
    <cellStyle name="Comma 3 6 3 4" xfId="1261"/>
    <cellStyle name="Comma 3 6 3 4 2" xfId="1767"/>
    <cellStyle name="Comma 3 6 3 4 3" xfId="2275"/>
    <cellStyle name="Comma 3 6 3 5" xfId="1519"/>
    <cellStyle name="Comma 3 6 3 6" xfId="2027"/>
    <cellStyle name="Comma 3 6 4" xfId="1039"/>
    <cellStyle name="Comma 3 6 4 2" xfId="1163"/>
    <cellStyle name="Comma 3 6 4 2 2" xfId="1411"/>
    <cellStyle name="Comma 3 6 4 2 2 2" xfId="1917"/>
    <cellStyle name="Comma 3 6 4 2 2 3" xfId="2425"/>
    <cellStyle name="Comma 3 6 4 2 3" xfId="1669"/>
    <cellStyle name="Comma 3 6 4 2 4" xfId="2177"/>
    <cellStyle name="Comma 3 6 4 3" xfId="1287"/>
    <cellStyle name="Comma 3 6 4 3 2" xfId="1793"/>
    <cellStyle name="Comma 3 6 4 3 3" xfId="2301"/>
    <cellStyle name="Comma 3 6 4 4" xfId="1545"/>
    <cellStyle name="Comma 3 6 4 5" xfId="2053"/>
    <cellStyle name="Comma 3 6 5" xfId="1095"/>
    <cellStyle name="Comma 3 6 5 2" xfId="1343"/>
    <cellStyle name="Comma 3 6 5 2 2" xfId="1849"/>
    <cellStyle name="Comma 3 6 5 2 3" xfId="2357"/>
    <cellStyle name="Comma 3 6 5 3" xfId="1601"/>
    <cellStyle name="Comma 3 6 5 4" xfId="2109"/>
    <cellStyle name="Comma 3 6 6" xfId="963"/>
    <cellStyle name="Comma 3 6 6 2" xfId="1477"/>
    <cellStyle name="Comma 3 6 6 3" xfId="1985"/>
    <cellStyle name="Comma 3 6 7" xfId="1219"/>
    <cellStyle name="Comma 3 6 7 2" xfId="1725"/>
    <cellStyle name="Comma 3 6 7 3" xfId="2233"/>
    <cellStyle name="Comma 3 6 8" xfId="1465"/>
    <cellStyle name="Comma 3 6 9" xfId="1972"/>
    <cellStyle name="Comma 3 7" xfId="965"/>
    <cellStyle name="Comma 3 7 2" xfId="995"/>
    <cellStyle name="Comma 3 7 2 2" xfId="1043"/>
    <cellStyle name="Comma 3 7 2 2 2" xfId="1167"/>
    <cellStyle name="Comma 3 7 2 2 2 2" xfId="1415"/>
    <cellStyle name="Comma 3 7 2 2 2 2 2" xfId="1921"/>
    <cellStyle name="Comma 3 7 2 2 2 2 3" xfId="2429"/>
    <cellStyle name="Comma 3 7 2 2 2 3" xfId="1673"/>
    <cellStyle name="Comma 3 7 2 2 2 4" xfId="2181"/>
    <cellStyle name="Comma 3 7 2 2 3" xfId="1291"/>
    <cellStyle name="Comma 3 7 2 2 3 2" xfId="1797"/>
    <cellStyle name="Comma 3 7 2 2 3 3" xfId="2305"/>
    <cellStyle name="Comma 3 7 2 2 4" xfId="1549"/>
    <cellStyle name="Comma 3 7 2 2 5" xfId="2057"/>
    <cellStyle name="Comma 3 7 2 3" xfId="1119"/>
    <cellStyle name="Comma 3 7 2 3 2" xfId="1367"/>
    <cellStyle name="Comma 3 7 2 3 2 2" xfId="1873"/>
    <cellStyle name="Comma 3 7 2 3 2 3" xfId="2381"/>
    <cellStyle name="Comma 3 7 2 3 3" xfId="1625"/>
    <cellStyle name="Comma 3 7 2 3 4" xfId="2133"/>
    <cellStyle name="Comma 3 7 2 4" xfId="1243"/>
    <cellStyle name="Comma 3 7 2 4 2" xfId="1749"/>
    <cellStyle name="Comma 3 7 2 4 3" xfId="2257"/>
    <cellStyle name="Comma 3 7 2 5" xfId="1501"/>
    <cellStyle name="Comma 3 7 2 6" xfId="2009"/>
    <cellStyle name="Comma 3 7 3" xfId="1015"/>
    <cellStyle name="Comma 3 7 3 2" xfId="1044"/>
    <cellStyle name="Comma 3 7 3 2 2" xfId="1168"/>
    <cellStyle name="Comma 3 7 3 2 2 2" xfId="1416"/>
    <cellStyle name="Comma 3 7 3 2 2 2 2" xfId="1922"/>
    <cellStyle name="Comma 3 7 3 2 2 2 3" xfId="2430"/>
    <cellStyle name="Comma 3 7 3 2 2 3" xfId="1674"/>
    <cellStyle name="Comma 3 7 3 2 2 4" xfId="2182"/>
    <cellStyle name="Comma 3 7 3 2 3" xfId="1292"/>
    <cellStyle name="Comma 3 7 3 2 3 2" xfId="1798"/>
    <cellStyle name="Comma 3 7 3 2 3 3" xfId="2306"/>
    <cellStyle name="Comma 3 7 3 2 4" xfId="1550"/>
    <cellStyle name="Comma 3 7 3 2 5" xfId="2058"/>
    <cellStyle name="Comma 3 7 3 3" xfId="1139"/>
    <cellStyle name="Comma 3 7 3 3 2" xfId="1387"/>
    <cellStyle name="Comma 3 7 3 3 2 2" xfId="1893"/>
    <cellStyle name="Comma 3 7 3 3 2 3" xfId="2401"/>
    <cellStyle name="Comma 3 7 3 3 3" xfId="1645"/>
    <cellStyle name="Comma 3 7 3 3 4" xfId="2153"/>
    <cellStyle name="Comma 3 7 3 4" xfId="1263"/>
    <cellStyle name="Comma 3 7 3 4 2" xfId="1769"/>
    <cellStyle name="Comma 3 7 3 4 3" xfId="2277"/>
    <cellStyle name="Comma 3 7 3 5" xfId="1521"/>
    <cellStyle name="Comma 3 7 3 6" xfId="2029"/>
    <cellStyle name="Comma 3 7 4" xfId="1042"/>
    <cellStyle name="Comma 3 7 4 2" xfId="1166"/>
    <cellStyle name="Comma 3 7 4 2 2" xfId="1414"/>
    <cellStyle name="Comma 3 7 4 2 2 2" xfId="1920"/>
    <cellStyle name="Comma 3 7 4 2 2 3" xfId="2428"/>
    <cellStyle name="Comma 3 7 4 2 3" xfId="1672"/>
    <cellStyle name="Comma 3 7 4 2 4" xfId="2180"/>
    <cellStyle name="Comma 3 7 4 3" xfId="1290"/>
    <cellStyle name="Comma 3 7 4 3 2" xfId="1796"/>
    <cellStyle name="Comma 3 7 4 3 3" xfId="2304"/>
    <cellStyle name="Comma 3 7 4 4" xfId="1548"/>
    <cellStyle name="Comma 3 7 4 5" xfId="2056"/>
    <cellStyle name="Comma 3 7 5" xfId="1097"/>
    <cellStyle name="Comma 3 7 5 2" xfId="1345"/>
    <cellStyle name="Comma 3 7 5 2 2" xfId="1851"/>
    <cellStyle name="Comma 3 7 5 2 3" xfId="2359"/>
    <cellStyle name="Comma 3 7 5 3" xfId="1603"/>
    <cellStyle name="Comma 3 7 5 4" xfId="2111"/>
    <cellStyle name="Comma 3 7 6" xfId="1221"/>
    <cellStyle name="Comma 3 7 6 2" xfId="1727"/>
    <cellStyle name="Comma 3 7 6 3" xfId="2235"/>
    <cellStyle name="Comma 3 7 7" xfId="1479"/>
    <cellStyle name="Comma 3 7 8" xfId="1987"/>
    <cellStyle name="Comma 3 8" xfId="967"/>
    <cellStyle name="Comma 3 8 2" xfId="997"/>
    <cellStyle name="Comma 3 8 2 2" xfId="1046"/>
    <cellStyle name="Comma 3 8 2 2 2" xfId="1170"/>
    <cellStyle name="Comma 3 8 2 2 2 2" xfId="1418"/>
    <cellStyle name="Comma 3 8 2 2 2 2 2" xfId="1924"/>
    <cellStyle name="Comma 3 8 2 2 2 2 3" xfId="2432"/>
    <cellStyle name="Comma 3 8 2 2 2 3" xfId="1676"/>
    <cellStyle name="Comma 3 8 2 2 2 4" xfId="2184"/>
    <cellStyle name="Comma 3 8 2 2 3" xfId="1294"/>
    <cellStyle name="Comma 3 8 2 2 3 2" xfId="1800"/>
    <cellStyle name="Comma 3 8 2 2 3 3" xfId="2308"/>
    <cellStyle name="Comma 3 8 2 2 4" xfId="1552"/>
    <cellStyle name="Comma 3 8 2 2 5" xfId="2060"/>
    <cellStyle name="Comma 3 8 2 3" xfId="1121"/>
    <cellStyle name="Comma 3 8 2 3 2" xfId="1369"/>
    <cellStyle name="Comma 3 8 2 3 2 2" xfId="1875"/>
    <cellStyle name="Comma 3 8 2 3 2 3" xfId="2383"/>
    <cellStyle name="Comma 3 8 2 3 3" xfId="1627"/>
    <cellStyle name="Comma 3 8 2 3 4" xfId="2135"/>
    <cellStyle name="Comma 3 8 2 4" xfId="1245"/>
    <cellStyle name="Comma 3 8 2 4 2" xfId="1751"/>
    <cellStyle name="Comma 3 8 2 4 3" xfId="2259"/>
    <cellStyle name="Comma 3 8 2 5" xfId="1503"/>
    <cellStyle name="Comma 3 8 2 6" xfId="2011"/>
    <cellStyle name="Comma 3 8 3" xfId="1017"/>
    <cellStyle name="Comma 3 8 3 2" xfId="1047"/>
    <cellStyle name="Comma 3 8 3 2 2" xfId="1171"/>
    <cellStyle name="Comma 3 8 3 2 2 2" xfId="1419"/>
    <cellStyle name="Comma 3 8 3 2 2 2 2" xfId="1925"/>
    <cellStyle name="Comma 3 8 3 2 2 2 3" xfId="2433"/>
    <cellStyle name="Comma 3 8 3 2 2 3" xfId="1677"/>
    <cellStyle name="Comma 3 8 3 2 2 4" xfId="2185"/>
    <cellStyle name="Comma 3 8 3 2 3" xfId="1295"/>
    <cellStyle name="Comma 3 8 3 2 3 2" xfId="1801"/>
    <cellStyle name="Comma 3 8 3 2 3 3" xfId="2309"/>
    <cellStyle name="Comma 3 8 3 2 4" xfId="1553"/>
    <cellStyle name="Comma 3 8 3 2 5" xfId="2061"/>
    <cellStyle name="Comma 3 8 3 3" xfId="1141"/>
    <cellStyle name="Comma 3 8 3 3 2" xfId="1389"/>
    <cellStyle name="Comma 3 8 3 3 2 2" xfId="1895"/>
    <cellStyle name="Comma 3 8 3 3 2 3" xfId="2403"/>
    <cellStyle name="Comma 3 8 3 3 3" xfId="1647"/>
    <cellStyle name="Comma 3 8 3 3 4" xfId="2155"/>
    <cellStyle name="Comma 3 8 3 4" xfId="1265"/>
    <cellStyle name="Comma 3 8 3 4 2" xfId="1771"/>
    <cellStyle name="Comma 3 8 3 4 3" xfId="2279"/>
    <cellStyle name="Comma 3 8 3 5" xfId="1523"/>
    <cellStyle name="Comma 3 8 3 6" xfId="2031"/>
    <cellStyle name="Comma 3 8 4" xfId="1045"/>
    <cellStyle name="Comma 3 8 4 2" xfId="1169"/>
    <cellStyle name="Comma 3 8 4 2 2" xfId="1417"/>
    <cellStyle name="Comma 3 8 4 2 2 2" xfId="1923"/>
    <cellStyle name="Comma 3 8 4 2 2 3" xfId="2431"/>
    <cellStyle name="Comma 3 8 4 2 3" xfId="1675"/>
    <cellStyle name="Comma 3 8 4 2 4" xfId="2183"/>
    <cellStyle name="Comma 3 8 4 3" xfId="1293"/>
    <cellStyle name="Comma 3 8 4 3 2" xfId="1799"/>
    <cellStyle name="Comma 3 8 4 3 3" xfId="2307"/>
    <cellStyle name="Comma 3 8 4 4" xfId="1551"/>
    <cellStyle name="Comma 3 8 4 5" xfId="2059"/>
    <cellStyle name="Comma 3 8 5" xfId="1099"/>
    <cellStyle name="Comma 3 8 5 2" xfId="1347"/>
    <cellStyle name="Comma 3 8 5 2 2" xfId="1853"/>
    <cellStyle name="Comma 3 8 5 2 3" xfId="2361"/>
    <cellStyle name="Comma 3 8 5 3" xfId="1605"/>
    <cellStyle name="Comma 3 8 5 4" xfId="2113"/>
    <cellStyle name="Comma 3 8 6" xfId="1223"/>
    <cellStyle name="Comma 3 8 6 2" xfId="1729"/>
    <cellStyle name="Comma 3 8 6 3" xfId="2237"/>
    <cellStyle name="Comma 3 8 7" xfId="1481"/>
    <cellStyle name="Comma 3 8 8" xfId="1989"/>
    <cellStyle name="Comma 3 9" xfId="969"/>
    <cellStyle name="Comma 3 9 2" xfId="999"/>
    <cellStyle name="Comma 3 9 2 2" xfId="1049"/>
    <cellStyle name="Comma 3 9 2 2 2" xfId="1173"/>
    <cellStyle name="Comma 3 9 2 2 2 2" xfId="1421"/>
    <cellStyle name="Comma 3 9 2 2 2 2 2" xfId="1927"/>
    <cellStyle name="Comma 3 9 2 2 2 2 3" xfId="2435"/>
    <cellStyle name="Comma 3 9 2 2 2 3" xfId="1679"/>
    <cellStyle name="Comma 3 9 2 2 2 4" xfId="2187"/>
    <cellStyle name="Comma 3 9 2 2 3" xfId="1297"/>
    <cellStyle name="Comma 3 9 2 2 3 2" xfId="1803"/>
    <cellStyle name="Comma 3 9 2 2 3 3" xfId="2311"/>
    <cellStyle name="Comma 3 9 2 2 4" xfId="1555"/>
    <cellStyle name="Comma 3 9 2 2 5" xfId="2063"/>
    <cellStyle name="Comma 3 9 2 3" xfId="1123"/>
    <cellStyle name="Comma 3 9 2 3 2" xfId="1371"/>
    <cellStyle name="Comma 3 9 2 3 2 2" xfId="1877"/>
    <cellStyle name="Comma 3 9 2 3 2 3" xfId="2385"/>
    <cellStyle name="Comma 3 9 2 3 3" xfId="1629"/>
    <cellStyle name="Comma 3 9 2 3 4" xfId="2137"/>
    <cellStyle name="Comma 3 9 2 4" xfId="1247"/>
    <cellStyle name="Comma 3 9 2 4 2" xfId="1753"/>
    <cellStyle name="Comma 3 9 2 4 3" xfId="2261"/>
    <cellStyle name="Comma 3 9 2 5" xfId="1505"/>
    <cellStyle name="Comma 3 9 2 6" xfId="2013"/>
    <cellStyle name="Comma 3 9 3" xfId="1019"/>
    <cellStyle name="Comma 3 9 3 2" xfId="1050"/>
    <cellStyle name="Comma 3 9 3 2 2" xfId="1174"/>
    <cellStyle name="Comma 3 9 3 2 2 2" xfId="1422"/>
    <cellStyle name="Comma 3 9 3 2 2 2 2" xfId="1928"/>
    <cellStyle name="Comma 3 9 3 2 2 2 3" xfId="2436"/>
    <cellStyle name="Comma 3 9 3 2 2 3" xfId="1680"/>
    <cellStyle name="Comma 3 9 3 2 2 4" xfId="2188"/>
    <cellStyle name="Comma 3 9 3 2 3" xfId="1298"/>
    <cellStyle name="Comma 3 9 3 2 3 2" xfId="1804"/>
    <cellStyle name="Comma 3 9 3 2 3 3" xfId="2312"/>
    <cellStyle name="Comma 3 9 3 2 4" xfId="1556"/>
    <cellStyle name="Comma 3 9 3 2 5" xfId="2064"/>
    <cellStyle name="Comma 3 9 3 3" xfId="1143"/>
    <cellStyle name="Comma 3 9 3 3 2" xfId="1391"/>
    <cellStyle name="Comma 3 9 3 3 2 2" xfId="1897"/>
    <cellStyle name="Comma 3 9 3 3 2 3" xfId="2405"/>
    <cellStyle name="Comma 3 9 3 3 3" xfId="1649"/>
    <cellStyle name="Comma 3 9 3 3 4" xfId="2157"/>
    <cellStyle name="Comma 3 9 3 4" xfId="1267"/>
    <cellStyle name="Comma 3 9 3 4 2" xfId="1773"/>
    <cellStyle name="Comma 3 9 3 4 3" xfId="2281"/>
    <cellStyle name="Comma 3 9 3 5" xfId="1525"/>
    <cellStyle name="Comma 3 9 3 6" xfId="2033"/>
    <cellStyle name="Comma 3 9 4" xfId="1048"/>
    <cellStyle name="Comma 3 9 4 2" xfId="1172"/>
    <cellStyle name="Comma 3 9 4 2 2" xfId="1420"/>
    <cellStyle name="Comma 3 9 4 2 2 2" xfId="1926"/>
    <cellStyle name="Comma 3 9 4 2 2 3" xfId="2434"/>
    <cellStyle name="Comma 3 9 4 2 3" xfId="1678"/>
    <cellStyle name="Comma 3 9 4 2 4" xfId="2186"/>
    <cellStyle name="Comma 3 9 4 3" xfId="1296"/>
    <cellStyle name="Comma 3 9 4 3 2" xfId="1802"/>
    <cellStyle name="Comma 3 9 4 3 3" xfId="2310"/>
    <cellStyle name="Comma 3 9 4 4" xfId="1554"/>
    <cellStyle name="Comma 3 9 4 5" xfId="2062"/>
    <cellStyle name="Comma 3 9 5" xfId="1101"/>
    <cellStyle name="Comma 3 9 5 2" xfId="1349"/>
    <cellStyle name="Comma 3 9 5 2 2" xfId="1855"/>
    <cellStyle name="Comma 3 9 5 2 3" xfId="2363"/>
    <cellStyle name="Comma 3 9 5 3" xfId="1607"/>
    <cellStyle name="Comma 3 9 5 4" xfId="2115"/>
    <cellStyle name="Comma 3 9 6" xfId="1225"/>
    <cellStyle name="Comma 3 9 6 2" xfId="1731"/>
    <cellStyle name="Comma 3 9 6 3" xfId="2239"/>
    <cellStyle name="Comma 3 9 7" xfId="1483"/>
    <cellStyle name="Comma 3 9 8" xfId="1991"/>
    <cellStyle name="Comma 4" xfId="218"/>
    <cellStyle name="Comma 4 2" xfId="165"/>
    <cellStyle name="Comma 4 2 2" xfId="570"/>
    <cellStyle name="Comma 4 3" xfId="561"/>
    <cellStyle name="Comma 5" xfId="85"/>
    <cellStyle name="Comma 5 2" xfId="245"/>
    <cellStyle name="Comma 5 2 2" xfId="748"/>
    <cellStyle name="Comma 6" xfId="243"/>
    <cellStyle name="Comma 6 2" xfId="389"/>
    <cellStyle name="Comma 6 2 2" xfId="749"/>
    <cellStyle name="Comma 6 3" xfId="440"/>
    <cellStyle name="Comma 6 4" xfId="497"/>
    <cellStyle name="Comma 6 5" xfId="518"/>
    <cellStyle name="Comma 7" xfId="153"/>
    <cellStyle name="Comma 7 2" xfId="213"/>
    <cellStyle name="Comma 7 2 2" xfId="343"/>
    <cellStyle name="Comma 7 2 2 2" xfId="396"/>
    <cellStyle name="Comma 7 2 2 3" xfId="447"/>
    <cellStyle name="Comma 7 2 2 4" xfId="504"/>
    <cellStyle name="Comma 7 2 2 5" xfId="751"/>
    <cellStyle name="Comma 7 2 3" xfId="355"/>
    <cellStyle name="Comma 7 2 3 2" xfId="554"/>
    <cellStyle name="Comma 7 2 4" xfId="407"/>
    <cellStyle name="Comma 7 2 4 2" xfId="1462"/>
    <cellStyle name="Comma 7 2 5" xfId="475"/>
    <cellStyle name="Comma 7 2 5 2" xfId="1969"/>
    <cellStyle name="Comma 7 2 6" xfId="520"/>
    <cellStyle name="Comma 7 3" xfId="293"/>
    <cellStyle name="Comma 7 3 2" xfId="392"/>
    <cellStyle name="Comma 7 3 3" xfId="443"/>
    <cellStyle name="Comma 7 3 4" xfId="500"/>
    <cellStyle name="Comma 7 3 5" xfId="750"/>
    <cellStyle name="Comma 7 4" xfId="351"/>
    <cellStyle name="Comma 7 4 2" xfId="550"/>
    <cellStyle name="Comma 7 5" xfId="403"/>
    <cellStyle name="Comma 7 5 2" xfId="1458"/>
    <cellStyle name="Comma 7 6" xfId="471"/>
    <cellStyle name="Comma 7 6 2" xfId="1965"/>
    <cellStyle name="Comma 7 7" xfId="519"/>
    <cellStyle name="Comma 8" xfId="468"/>
    <cellStyle name="Comma 8 2" xfId="753"/>
    <cellStyle name="Comma 8 3" xfId="752"/>
    <cellStyle name="Comma 8 4" xfId="538"/>
    <cellStyle name="Comma 9" xfId="543"/>
    <cellStyle name="Comma 9 2" xfId="754"/>
    <cellStyle name="CommaBlank" xfId="755"/>
    <cellStyle name="CommaBlank 2" xfId="756"/>
    <cellStyle name="Currency" xfId="16" builtinId="4"/>
    <cellStyle name="Currency 10" xfId="757"/>
    <cellStyle name="Currency 10 2" xfId="979"/>
    <cellStyle name="Currency 10 2 2" xfId="1052"/>
    <cellStyle name="Currency 10 2 2 2" xfId="1176"/>
    <cellStyle name="Currency 10 2 2 2 2" xfId="1424"/>
    <cellStyle name="Currency 10 2 2 2 2 2" xfId="1930"/>
    <cellStyle name="Currency 10 2 2 2 2 3" xfId="2438"/>
    <cellStyle name="Currency 10 2 2 2 3" xfId="1682"/>
    <cellStyle name="Currency 10 2 2 2 4" xfId="2190"/>
    <cellStyle name="Currency 10 2 2 3" xfId="1300"/>
    <cellStyle name="Currency 10 2 2 3 2" xfId="1806"/>
    <cellStyle name="Currency 10 2 2 3 3" xfId="2314"/>
    <cellStyle name="Currency 10 2 2 4" xfId="1558"/>
    <cellStyle name="Currency 10 2 2 5" xfId="2066"/>
    <cellStyle name="Currency 10 2 3" xfId="1109"/>
    <cellStyle name="Currency 10 2 3 2" xfId="1357"/>
    <cellStyle name="Currency 10 2 3 2 2" xfId="1863"/>
    <cellStyle name="Currency 10 2 3 2 3" xfId="2371"/>
    <cellStyle name="Currency 10 2 3 3" xfId="1615"/>
    <cellStyle name="Currency 10 2 3 4" xfId="2123"/>
    <cellStyle name="Currency 10 2 4" xfId="1233"/>
    <cellStyle name="Currency 10 2 4 2" xfId="1739"/>
    <cellStyle name="Currency 10 2 4 3" xfId="2247"/>
    <cellStyle name="Currency 10 2 5" xfId="1491"/>
    <cellStyle name="Currency 10 2 6" xfId="1999"/>
    <cellStyle name="Currency 10 3" xfId="1005"/>
    <cellStyle name="Currency 10 3 2" xfId="1053"/>
    <cellStyle name="Currency 10 3 2 2" xfId="1177"/>
    <cellStyle name="Currency 10 3 2 2 2" xfId="1425"/>
    <cellStyle name="Currency 10 3 2 2 2 2" xfId="1931"/>
    <cellStyle name="Currency 10 3 2 2 2 3" xfId="2439"/>
    <cellStyle name="Currency 10 3 2 2 3" xfId="1683"/>
    <cellStyle name="Currency 10 3 2 2 4" xfId="2191"/>
    <cellStyle name="Currency 10 3 2 3" xfId="1301"/>
    <cellStyle name="Currency 10 3 2 3 2" xfId="1807"/>
    <cellStyle name="Currency 10 3 2 3 3" xfId="2315"/>
    <cellStyle name="Currency 10 3 2 4" xfId="1559"/>
    <cellStyle name="Currency 10 3 2 5" xfId="2067"/>
    <cellStyle name="Currency 10 3 3" xfId="1129"/>
    <cellStyle name="Currency 10 3 3 2" xfId="1377"/>
    <cellStyle name="Currency 10 3 3 2 2" xfId="1883"/>
    <cellStyle name="Currency 10 3 3 2 3" xfId="2391"/>
    <cellStyle name="Currency 10 3 3 3" xfId="1635"/>
    <cellStyle name="Currency 10 3 3 4" xfId="2143"/>
    <cellStyle name="Currency 10 3 4" xfId="1253"/>
    <cellStyle name="Currency 10 3 4 2" xfId="1759"/>
    <cellStyle name="Currency 10 3 4 3" xfId="2267"/>
    <cellStyle name="Currency 10 3 5" xfId="1511"/>
    <cellStyle name="Currency 10 3 6" xfId="2019"/>
    <cellStyle name="Currency 10 4" xfId="1051"/>
    <cellStyle name="Currency 10 4 2" xfId="1175"/>
    <cellStyle name="Currency 10 4 2 2" xfId="1423"/>
    <cellStyle name="Currency 10 4 2 2 2" xfId="1929"/>
    <cellStyle name="Currency 10 4 2 2 3" xfId="2437"/>
    <cellStyle name="Currency 10 4 2 3" xfId="1681"/>
    <cellStyle name="Currency 10 4 2 4" xfId="2189"/>
    <cellStyle name="Currency 10 4 3" xfId="1299"/>
    <cellStyle name="Currency 10 4 3 2" xfId="1805"/>
    <cellStyle name="Currency 10 4 3 3" xfId="2313"/>
    <cellStyle name="Currency 10 4 4" xfId="1557"/>
    <cellStyle name="Currency 10 4 5" xfId="2065"/>
    <cellStyle name="Currency 10 5" xfId="1087"/>
    <cellStyle name="Currency 10 5 2" xfId="1335"/>
    <cellStyle name="Currency 10 5 2 2" xfId="1841"/>
    <cellStyle name="Currency 10 5 2 3" xfId="2349"/>
    <cellStyle name="Currency 10 5 3" xfId="1593"/>
    <cellStyle name="Currency 10 5 4" xfId="2101"/>
    <cellStyle name="Currency 10 6" xfId="1211"/>
    <cellStyle name="Currency 10 6 2" xfId="1717"/>
    <cellStyle name="Currency 10 6 3" xfId="2225"/>
    <cellStyle name="Currency 10 7" xfId="1469"/>
    <cellStyle name="Currency 10 8" xfId="1976"/>
    <cellStyle name="Currency 2" xfId="102"/>
    <cellStyle name="Currency 2 2" xfId="103"/>
    <cellStyle name="Currency 2 2 2" xfId="166"/>
    <cellStyle name="Currency 2 2 3" xfId="188"/>
    <cellStyle name="Currency 2 2 3 2" xfId="318"/>
    <cellStyle name="Currency 2 3" xfId="104"/>
    <cellStyle name="Currency 2 3 2" xfId="189"/>
    <cellStyle name="Currency 2 3 2 2" xfId="319"/>
    <cellStyle name="Currency 2 3 3" xfId="260"/>
    <cellStyle name="Currency 2 3 3 2" xfId="957"/>
    <cellStyle name="Currency 2 4" xfId="105"/>
    <cellStyle name="Currency 2 4 2" xfId="190"/>
    <cellStyle name="Currency 2 4 2 2" xfId="320"/>
    <cellStyle name="Currency 2 4 3" xfId="261"/>
    <cellStyle name="Currency 2 5" xfId="162"/>
    <cellStyle name="Currency 2 5 2" xfId="297"/>
    <cellStyle name="Currency 2 6" xfId="559"/>
    <cellStyle name="Currency 3" xfId="167"/>
    <cellStyle name="Currency 3 2" xfId="562"/>
    <cellStyle name="Currency 3 3" xfId="759"/>
    <cellStyle name="Currency 3 4" xfId="760"/>
    <cellStyle name="Currency 3 5" xfId="980"/>
    <cellStyle name="Currency 3 6" xfId="758"/>
    <cellStyle name="Currency 4" xfId="159"/>
    <cellStyle name="Currency 4 2" xfId="762"/>
    <cellStyle name="Currency 4 3" xfId="763"/>
    <cellStyle name="Currency 4 4" xfId="764"/>
    <cellStyle name="Currency 4 5" xfId="761"/>
    <cellStyle name="Currency 5" xfId="227"/>
    <cellStyle name="Currency 5 2" xfId="349"/>
    <cellStyle name="Currency 5 2 2" xfId="401"/>
    <cellStyle name="Currency 5 2 3" xfId="452"/>
    <cellStyle name="Currency 5 2 4" xfId="509"/>
    <cellStyle name="Currency 5 2 5" xfId="765"/>
    <cellStyle name="Currency 5 3" xfId="373"/>
    <cellStyle name="Currency 5 4" xfId="424"/>
    <cellStyle name="Currency 5 5" xfId="480"/>
    <cellStyle name="Currency 5 6" xfId="539"/>
    <cellStyle name="Currency 6" xfId="346"/>
    <cellStyle name="Currency 6 2" xfId="766"/>
    <cellStyle name="Currency 6 3" xfId="544"/>
    <cellStyle name="Currency 7" xfId="242"/>
    <cellStyle name="Currency 7 2" xfId="388"/>
    <cellStyle name="Currency 7 2 2" xfId="767"/>
    <cellStyle name="Currency 7 3" xfId="439"/>
    <cellStyle name="Currency 7 4" xfId="496"/>
    <cellStyle name="Currency 7 5" xfId="547"/>
    <cellStyle name="Currency 8" xfId="467"/>
    <cellStyle name="Currency 8 2" xfId="768"/>
    <cellStyle name="Currency 9" xfId="219"/>
    <cellStyle name="Explanatory Text" xfId="31" builtinId="53" customBuiltin="1"/>
    <cellStyle name="Explanatory Text 2" xfId="106"/>
    <cellStyle name="Explanatory Text 3" xfId="769"/>
    <cellStyle name="Explanatory Text 4" xfId="770"/>
    <cellStyle name="Explanatory Text 5" xfId="771"/>
    <cellStyle name="Explanatory Text 6" xfId="772"/>
    <cellStyle name="Good" xfId="22" builtinId="26" customBuiltin="1"/>
    <cellStyle name="Good 2" xfId="107"/>
    <cellStyle name="Good 3" xfId="773"/>
    <cellStyle name="Good 4" xfId="774"/>
    <cellStyle name="Good 5" xfId="775"/>
    <cellStyle name="Good 6" xfId="776"/>
    <cellStyle name="Heading 1" xfId="18" builtinId="16" customBuiltin="1"/>
    <cellStyle name="Heading 1 2" xfId="108"/>
    <cellStyle name="Heading 1 2 2" xfId="777"/>
    <cellStyle name="Heading 1 3" xfId="778"/>
    <cellStyle name="Heading 1 4" xfId="779"/>
    <cellStyle name="Heading 1 5" xfId="780"/>
    <cellStyle name="Heading 1 6" xfId="781"/>
    <cellStyle name="Heading 1 7" xfId="782"/>
    <cellStyle name="Heading 1 8" xfId="783"/>
    <cellStyle name="Heading 2" xfId="19" builtinId="17" customBuiltin="1"/>
    <cellStyle name="Heading 2 2" xfId="109"/>
    <cellStyle name="Heading 2 2 2" xfId="784"/>
    <cellStyle name="Heading 2 3" xfId="785"/>
    <cellStyle name="Heading 2 4" xfId="786"/>
    <cellStyle name="Heading 2 5" xfId="787"/>
    <cellStyle name="Heading 2 6" xfId="788"/>
    <cellStyle name="Heading 2 7" xfId="789"/>
    <cellStyle name="Heading 2 8" xfId="790"/>
    <cellStyle name="Heading 3" xfId="20" builtinId="18" customBuiltin="1"/>
    <cellStyle name="Heading 3 2" xfId="110"/>
    <cellStyle name="Heading 3 2 2" xfId="791"/>
    <cellStyle name="Heading 3 3" xfId="792"/>
    <cellStyle name="Heading 3 4" xfId="793"/>
    <cellStyle name="Heading 3 5" xfId="794"/>
    <cellStyle name="Heading 3 6" xfId="795"/>
    <cellStyle name="Heading 3 7" xfId="796"/>
    <cellStyle name="Heading 3 8" xfId="797"/>
    <cellStyle name="Heading 4" xfId="21" builtinId="19" customBuiltin="1"/>
    <cellStyle name="Heading 4 2" xfId="111"/>
    <cellStyle name="Heading 4 2 2" xfId="798"/>
    <cellStyle name="Heading 4 3" xfId="799"/>
    <cellStyle name="Heading 4 4" xfId="800"/>
    <cellStyle name="Heading 4 5" xfId="801"/>
    <cellStyle name="Heading 4 6" xfId="802"/>
    <cellStyle name="Heading 4 7" xfId="803"/>
    <cellStyle name="Heading 4 8" xfId="804"/>
    <cellStyle name="Input" xfId="25" builtinId="20" customBuiltin="1"/>
    <cellStyle name="Input 2" xfId="112"/>
    <cellStyle name="Input 3" xfId="805"/>
    <cellStyle name="Input 4" xfId="806"/>
    <cellStyle name="Input 5" xfId="807"/>
    <cellStyle name="Input 6" xfId="808"/>
    <cellStyle name="kirkdollars" xfId="809"/>
    <cellStyle name="Linked Cell" xfId="28" builtinId="24" customBuiltin="1"/>
    <cellStyle name="Linked Cell 2" xfId="113"/>
    <cellStyle name="Linked Cell 3" xfId="810"/>
    <cellStyle name="Linked Cell 4" xfId="811"/>
    <cellStyle name="Linked Cell 5" xfId="812"/>
    <cellStyle name="Linked Cell 6" xfId="813"/>
    <cellStyle name="Neutral" xfId="24" builtinId="28" customBuiltin="1"/>
    <cellStyle name="Neutral 2" xfId="114"/>
    <cellStyle name="Neutral 3" xfId="814"/>
    <cellStyle name="Neutral 4" xfId="815"/>
    <cellStyle name="Neutral 5" xfId="816"/>
    <cellStyle name="Neutral 6" xfId="817"/>
    <cellStyle name="Normal" xfId="0" builtinId="0"/>
    <cellStyle name="Normal 10" xfId="481"/>
    <cellStyle name="Normal 10 2" xfId="818"/>
    <cellStyle name="Normal 11" xfId="510"/>
    <cellStyle name="Normal 11 2" xfId="819"/>
    <cellStyle name="Normal 12" xfId="453"/>
    <cellStyle name="Normal 12 2" xfId="820"/>
    <cellStyle name="Normal 12 3" xfId="521"/>
    <cellStyle name="Normal 13" xfId="57"/>
    <cellStyle name="Normal 13 2" xfId="821"/>
    <cellStyle name="Normal 14" xfId="540"/>
    <cellStyle name="Normal 14 2" xfId="822"/>
    <cellStyle name="Normal 15" xfId="542"/>
    <cellStyle name="Normal 15 2" xfId="981"/>
    <cellStyle name="Normal 15 2 2" xfId="1055"/>
    <cellStyle name="Normal 15 2 2 2" xfId="1179"/>
    <cellStyle name="Normal 15 2 2 2 2" xfId="1427"/>
    <cellStyle name="Normal 15 2 2 2 2 2" xfId="1933"/>
    <cellStyle name="Normal 15 2 2 2 2 3" xfId="2441"/>
    <cellStyle name="Normal 15 2 2 2 3" xfId="1685"/>
    <cellStyle name="Normal 15 2 2 2 4" xfId="2193"/>
    <cellStyle name="Normal 15 2 2 3" xfId="1303"/>
    <cellStyle name="Normal 15 2 2 3 2" xfId="1809"/>
    <cellStyle name="Normal 15 2 2 3 3" xfId="2317"/>
    <cellStyle name="Normal 15 2 2 4" xfId="1561"/>
    <cellStyle name="Normal 15 2 2 5" xfId="2069"/>
    <cellStyle name="Normal 15 2 3" xfId="1110"/>
    <cellStyle name="Normal 15 2 3 2" xfId="1358"/>
    <cellStyle name="Normal 15 2 3 2 2" xfId="1864"/>
    <cellStyle name="Normal 15 2 3 2 3" xfId="2372"/>
    <cellStyle name="Normal 15 2 3 3" xfId="1616"/>
    <cellStyle name="Normal 15 2 3 4" xfId="2124"/>
    <cellStyle name="Normal 15 2 4" xfId="1234"/>
    <cellStyle name="Normal 15 2 4 2" xfId="1740"/>
    <cellStyle name="Normal 15 2 4 3" xfId="2248"/>
    <cellStyle name="Normal 15 2 5" xfId="1492"/>
    <cellStyle name="Normal 15 2 6" xfId="2000"/>
    <cellStyle name="Normal 15 3" xfId="1006"/>
    <cellStyle name="Normal 15 3 2" xfId="1056"/>
    <cellStyle name="Normal 15 3 2 2" xfId="1180"/>
    <cellStyle name="Normal 15 3 2 2 2" xfId="1428"/>
    <cellStyle name="Normal 15 3 2 2 2 2" xfId="1934"/>
    <cellStyle name="Normal 15 3 2 2 2 3" xfId="2442"/>
    <cellStyle name="Normal 15 3 2 2 3" xfId="1686"/>
    <cellStyle name="Normal 15 3 2 2 4" xfId="2194"/>
    <cellStyle name="Normal 15 3 2 3" xfId="1304"/>
    <cellStyle name="Normal 15 3 2 3 2" xfId="1810"/>
    <cellStyle name="Normal 15 3 2 3 3" xfId="2318"/>
    <cellStyle name="Normal 15 3 2 4" xfId="1562"/>
    <cellStyle name="Normal 15 3 2 5" xfId="2070"/>
    <cellStyle name="Normal 15 3 3" xfId="1130"/>
    <cellStyle name="Normal 15 3 3 2" xfId="1378"/>
    <cellStyle name="Normal 15 3 3 2 2" xfId="1884"/>
    <cellStyle name="Normal 15 3 3 2 3" xfId="2392"/>
    <cellStyle name="Normal 15 3 3 3" xfId="1636"/>
    <cellStyle name="Normal 15 3 3 4" xfId="2144"/>
    <cellStyle name="Normal 15 3 4" xfId="1254"/>
    <cellStyle name="Normal 15 3 4 2" xfId="1760"/>
    <cellStyle name="Normal 15 3 4 3" xfId="2268"/>
    <cellStyle name="Normal 15 3 5" xfId="1512"/>
    <cellStyle name="Normal 15 3 6" xfId="2020"/>
    <cellStyle name="Normal 15 4" xfId="1054"/>
    <cellStyle name="Normal 15 4 2" xfId="1178"/>
    <cellStyle name="Normal 15 4 2 2" xfId="1426"/>
    <cellStyle name="Normal 15 4 2 2 2" xfId="1932"/>
    <cellStyle name="Normal 15 4 2 2 3" xfId="2440"/>
    <cellStyle name="Normal 15 4 2 3" xfId="1684"/>
    <cellStyle name="Normal 15 4 2 4" xfId="2192"/>
    <cellStyle name="Normal 15 4 3" xfId="1302"/>
    <cellStyle name="Normal 15 4 3 2" xfId="1808"/>
    <cellStyle name="Normal 15 4 3 3" xfId="2316"/>
    <cellStyle name="Normal 15 4 4" xfId="1560"/>
    <cellStyle name="Normal 15 4 5" xfId="2068"/>
    <cellStyle name="Normal 15 5" xfId="1088"/>
    <cellStyle name="Normal 15 5 2" xfId="1336"/>
    <cellStyle name="Normal 15 5 2 2" xfId="1842"/>
    <cellStyle name="Normal 15 5 2 3" xfId="2350"/>
    <cellStyle name="Normal 15 5 3" xfId="1594"/>
    <cellStyle name="Normal 15 5 4" xfId="2102"/>
    <cellStyle name="Normal 15 6" xfId="1212"/>
    <cellStyle name="Normal 15 6 2" xfId="1718"/>
    <cellStyle name="Normal 15 6 3" xfId="2226"/>
    <cellStyle name="Normal 15 7" xfId="823"/>
    <cellStyle name="Normal 15 8" xfId="1470"/>
    <cellStyle name="Normal 15 9" xfId="1977"/>
    <cellStyle name="Normal 16" xfId="546"/>
    <cellStyle name="Normal 16 2" xfId="824"/>
    <cellStyle name="Normal 17" xfId="825"/>
    <cellStyle name="Normal 18" xfId="826"/>
    <cellStyle name="Normal 19" xfId="827"/>
    <cellStyle name="Normal 2" xfId="115"/>
    <cellStyle name="Normal 2 2" xfId="116"/>
    <cellStyle name="Normal 2 2 2" xfId="117"/>
    <cellStyle name="Normal 2 2 2 2" xfId="191"/>
    <cellStyle name="Normal 2 2 2 2 2" xfId="321"/>
    <cellStyle name="Normal 2 2 2 3" xfId="264"/>
    <cellStyle name="Normal 2 2 3" xfId="118"/>
    <cellStyle name="Normal 2 2 3 2" xfId="192"/>
    <cellStyle name="Normal 2 2 3 2 2" xfId="322"/>
    <cellStyle name="Normal 2 2 3 3" xfId="265"/>
    <cellStyle name="Normal 2 2 4" xfId="119"/>
    <cellStyle name="Normal 2 2 4 2" xfId="193"/>
    <cellStyle name="Normal 2 2 4 2 2" xfId="323"/>
    <cellStyle name="Normal 2 2 4 3" xfId="266"/>
    <cellStyle name="Normal 2 2 5" xfId="168"/>
    <cellStyle name="Normal 2 2 5 2" xfId="299"/>
    <cellStyle name="Normal 2 2 6" xfId="263"/>
    <cellStyle name="Normal 2 2 6 2" xfId="563"/>
    <cellStyle name="Normal 2 3" xfId="120"/>
    <cellStyle name="Normal 2 3 2" xfId="121"/>
    <cellStyle name="Normal 2 3 2 2" xfId="194"/>
    <cellStyle name="Normal 2 3 2 2 2" xfId="324"/>
    <cellStyle name="Normal 2 3 2 3" xfId="268"/>
    <cellStyle name="Normal 2 3 3" xfId="122"/>
    <cellStyle name="Normal 2 3 3 2" xfId="195"/>
    <cellStyle name="Normal 2 3 3 2 2" xfId="325"/>
    <cellStyle name="Normal 2 3 3 3" xfId="269"/>
    <cellStyle name="Normal 2 3 4" xfId="123"/>
    <cellStyle name="Normal 2 3 4 2" xfId="196"/>
    <cellStyle name="Normal 2 3 4 2 2" xfId="326"/>
    <cellStyle name="Normal 2 3 4 3" xfId="270"/>
    <cellStyle name="Normal 2 3 5" xfId="267"/>
    <cellStyle name="Normal 2 4" xfId="157"/>
    <cellStyle name="Normal 2 4 2" xfId="828"/>
    <cellStyle name="Normal 2 5" xfId="262"/>
    <cellStyle name="Normal 2 6" xfId="512"/>
    <cellStyle name="Normal 2_Adjustment WP" xfId="829"/>
    <cellStyle name="Normal 20" xfId="830"/>
    <cellStyle name="Normal 21" xfId="831"/>
    <cellStyle name="Normal 22" xfId="832"/>
    <cellStyle name="Normal 23" xfId="833"/>
    <cellStyle name="Normal 24" xfId="834"/>
    <cellStyle name="Normal 25" xfId="835"/>
    <cellStyle name="Normal 26" xfId="836"/>
    <cellStyle name="Normal 27" xfId="837"/>
    <cellStyle name="Normal 28" xfId="838"/>
    <cellStyle name="Normal 29" xfId="839"/>
    <cellStyle name="Normal 3" xfId="124"/>
    <cellStyle name="Normal 3 2" xfId="154"/>
    <cellStyle name="Normal 3 2 2" xfId="841"/>
    <cellStyle name="Normal 3 3" xfId="160"/>
    <cellStyle name="Normal 3 3 2" xfId="295"/>
    <cellStyle name="Normal 3 3 2 2" xfId="842"/>
    <cellStyle name="Normal 3 4" xfId="226"/>
    <cellStyle name="Normal 3 4 2" xfId="372"/>
    <cellStyle name="Normal 3 4 2 2" xfId="843"/>
    <cellStyle name="Normal 3 4 3" xfId="557"/>
    <cellStyle name="Normal 3 4 4" xfId="522"/>
    <cellStyle name="Normal 3 5" xfId="271"/>
    <cellStyle name="Normal 3 5 2" xfId="956"/>
    <cellStyle name="Normal 3 6" xfId="982"/>
    <cellStyle name="Normal 3 7" xfId="840"/>
    <cellStyle name="Normal 3 8" xfId="513"/>
    <cellStyle name="Normal 3_108 Summary" xfId="844"/>
    <cellStyle name="Normal 30" xfId="845"/>
    <cellStyle name="Normal 31" xfId="846"/>
    <cellStyle name="Normal 32" xfId="847"/>
    <cellStyle name="Normal 33" xfId="848"/>
    <cellStyle name="Normal 34" xfId="849"/>
    <cellStyle name="Normal 35" xfId="850"/>
    <cellStyle name="Normal 35 2" xfId="983"/>
    <cellStyle name="Normal 35 2 2" xfId="1058"/>
    <cellStyle name="Normal 35 2 2 2" xfId="1182"/>
    <cellStyle name="Normal 35 2 2 2 2" xfId="1430"/>
    <cellStyle name="Normal 35 2 2 2 2 2" xfId="1936"/>
    <cellStyle name="Normal 35 2 2 2 2 3" xfId="2444"/>
    <cellStyle name="Normal 35 2 2 2 3" xfId="1688"/>
    <cellStyle name="Normal 35 2 2 2 4" xfId="2196"/>
    <cellStyle name="Normal 35 2 2 3" xfId="1306"/>
    <cellStyle name="Normal 35 2 2 3 2" xfId="1812"/>
    <cellStyle name="Normal 35 2 2 3 3" xfId="2320"/>
    <cellStyle name="Normal 35 2 2 4" xfId="1564"/>
    <cellStyle name="Normal 35 2 2 5" xfId="2072"/>
    <cellStyle name="Normal 35 2 3" xfId="1111"/>
    <cellStyle name="Normal 35 2 3 2" xfId="1359"/>
    <cellStyle name="Normal 35 2 3 2 2" xfId="1865"/>
    <cellStyle name="Normal 35 2 3 2 3" xfId="2373"/>
    <cellStyle name="Normal 35 2 3 3" xfId="1617"/>
    <cellStyle name="Normal 35 2 3 4" xfId="2125"/>
    <cellStyle name="Normal 35 2 4" xfId="1235"/>
    <cellStyle name="Normal 35 2 4 2" xfId="1741"/>
    <cellStyle name="Normal 35 2 4 3" xfId="2249"/>
    <cellStyle name="Normal 35 2 5" xfId="1493"/>
    <cellStyle name="Normal 35 2 6" xfId="2001"/>
    <cellStyle name="Normal 35 3" xfId="1007"/>
    <cellStyle name="Normal 35 3 2" xfId="1059"/>
    <cellStyle name="Normal 35 3 2 2" xfId="1183"/>
    <cellStyle name="Normal 35 3 2 2 2" xfId="1431"/>
    <cellStyle name="Normal 35 3 2 2 2 2" xfId="1937"/>
    <cellStyle name="Normal 35 3 2 2 2 3" xfId="2445"/>
    <cellStyle name="Normal 35 3 2 2 3" xfId="1689"/>
    <cellStyle name="Normal 35 3 2 2 4" xfId="2197"/>
    <cellStyle name="Normal 35 3 2 3" xfId="1307"/>
    <cellStyle name="Normal 35 3 2 3 2" xfId="1813"/>
    <cellStyle name="Normal 35 3 2 3 3" xfId="2321"/>
    <cellStyle name="Normal 35 3 2 4" xfId="1565"/>
    <cellStyle name="Normal 35 3 2 5" xfId="2073"/>
    <cellStyle name="Normal 35 3 3" xfId="1131"/>
    <cellStyle name="Normal 35 3 3 2" xfId="1379"/>
    <cellStyle name="Normal 35 3 3 2 2" xfId="1885"/>
    <cellStyle name="Normal 35 3 3 2 3" xfId="2393"/>
    <cellStyle name="Normal 35 3 3 3" xfId="1637"/>
    <cellStyle name="Normal 35 3 3 4" xfId="2145"/>
    <cellStyle name="Normal 35 3 4" xfId="1255"/>
    <cellStyle name="Normal 35 3 4 2" xfId="1761"/>
    <cellStyle name="Normal 35 3 4 3" xfId="2269"/>
    <cellStyle name="Normal 35 3 5" xfId="1513"/>
    <cellStyle name="Normal 35 3 6" xfId="2021"/>
    <cellStyle name="Normal 35 4" xfId="1057"/>
    <cellStyle name="Normal 35 4 2" xfId="1181"/>
    <cellStyle name="Normal 35 4 2 2" xfId="1429"/>
    <cellStyle name="Normal 35 4 2 2 2" xfId="1935"/>
    <cellStyle name="Normal 35 4 2 2 3" xfId="2443"/>
    <cellStyle name="Normal 35 4 2 3" xfId="1687"/>
    <cellStyle name="Normal 35 4 2 4" xfId="2195"/>
    <cellStyle name="Normal 35 4 3" xfId="1305"/>
    <cellStyle name="Normal 35 4 3 2" xfId="1811"/>
    <cellStyle name="Normal 35 4 3 3" xfId="2319"/>
    <cellStyle name="Normal 35 4 4" xfId="1563"/>
    <cellStyle name="Normal 35 4 5" xfId="2071"/>
    <cellStyle name="Normal 35 5" xfId="1089"/>
    <cellStyle name="Normal 35 5 2" xfId="1337"/>
    <cellStyle name="Normal 35 5 2 2" xfId="1843"/>
    <cellStyle name="Normal 35 5 2 3" xfId="2351"/>
    <cellStyle name="Normal 35 5 3" xfId="1595"/>
    <cellStyle name="Normal 35 5 4" xfId="2103"/>
    <cellStyle name="Normal 35 6" xfId="1213"/>
    <cellStyle name="Normal 35 6 2" xfId="1719"/>
    <cellStyle name="Normal 35 6 3" xfId="2227"/>
    <cellStyle name="Normal 35 7" xfId="1471"/>
    <cellStyle name="Normal 35 8" xfId="1978"/>
    <cellStyle name="Normal 36" xfId="548"/>
    <cellStyle name="Normal 37" xfId="1963"/>
    <cellStyle name="Normal 38" xfId="1980"/>
    <cellStyle name="Normal 39" xfId="2471"/>
    <cellStyle name="Normal 4" xfId="152"/>
    <cellStyle name="Normal 4 2" xfId="169"/>
    <cellStyle name="Normal 4 2 2" xfId="300"/>
    <cellStyle name="Normal 4 3" xfId="212"/>
    <cellStyle name="Normal 4 3 2" xfId="342"/>
    <cellStyle name="Normal 4 3 2 2" xfId="395"/>
    <cellStyle name="Normal 4 3 2 3" xfId="446"/>
    <cellStyle name="Normal 4 3 2 4" xfId="503"/>
    <cellStyle name="Normal 4 3 2 5" xfId="984"/>
    <cellStyle name="Normal 4 3 3" xfId="354"/>
    <cellStyle name="Normal 4 3 3 2" xfId="553"/>
    <cellStyle name="Normal 4 3 4" xfId="406"/>
    <cellStyle name="Normal 4 3 4 2" xfId="1461"/>
    <cellStyle name="Normal 4 3 5" xfId="474"/>
    <cellStyle name="Normal 4 3 5 2" xfId="1968"/>
    <cellStyle name="Normal 4 3 6" xfId="524"/>
    <cellStyle name="Normal 4 4" xfId="292"/>
    <cellStyle name="Normal 4 4 2" xfId="391"/>
    <cellStyle name="Normal 4 4 2 2" xfId="564"/>
    <cellStyle name="Normal 4 4 3" xfId="442"/>
    <cellStyle name="Normal 4 4 4" xfId="499"/>
    <cellStyle name="Normal 4 4 5" xfId="525"/>
    <cellStyle name="Normal 4 5" xfId="350"/>
    <cellStyle name="Normal 4 5 2" xfId="851"/>
    <cellStyle name="Normal 4 6" xfId="402"/>
    <cellStyle name="Normal 4 6 2" xfId="549"/>
    <cellStyle name="Normal 4 7" xfId="470"/>
    <cellStyle name="Normal 4 7 2" xfId="1457"/>
    <cellStyle name="Normal 4 8" xfId="1964"/>
    <cellStyle name="Normal 4 9" xfId="523"/>
    <cellStyle name="Normal 40" xfId="2472"/>
    <cellStyle name="Normal 41" xfId="2473"/>
    <cellStyle name="Normal 42" xfId="511"/>
    <cellStyle name="Normal 5" xfId="125"/>
    <cellStyle name="Normal 5 2" xfId="170"/>
    <cellStyle name="Normal 5 2 2" xfId="301"/>
    <cellStyle name="Normal 5 3" xfId="527"/>
    <cellStyle name="Normal 5 3 2" xfId="985"/>
    <cellStyle name="Normal 5 3 3" xfId="565"/>
    <cellStyle name="Normal 5 4" xfId="852"/>
    <cellStyle name="Normal 5 5" xfId="526"/>
    <cellStyle name="Normal 6" xfId="126"/>
    <cellStyle name="Normal 6 10" xfId="974"/>
    <cellStyle name="Normal 6 10 2" xfId="1060"/>
    <cellStyle name="Normal 6 10 2 2" xfId="1184"/>
    <cellStyle name="Normal 6 10 2 2 2" xfId="1432"/>
    <cellStyle name="Normal 6 10 2 2 2 2" xfId="1938"/>
    <cellStyle name="Normal 6 10 2 2 2 3" xfId="2446"/>
    <cellStyle name="Normal 6 10 2 2 3" xfId="1690"/>
    <cellStyle name="Normal 6 10 2 2 4" xfId="2198"/>
    <cellStyle name="Normal 6 10 2 3" xfId="1308"/>
    <cellStyle name="Normal 6 10 2 3 2" xfId="1814"/>
    <cellStyle name="Normal 6 10 2 3 3" xfId="2322"/>
    <cellStyle name="Normal 6 10 2 4" xfId="1566"/>
    <cellStyle name="Normal 6 10 2 5" xfId="2074"/>
    <cellStyle name="Normal 6 10 3" xfId="1106"/>
    <cellStyle name="Normal 6 10 3 2" xfId="1354"/>
    <cellStyle name="Normal 6 10 3 2 2" xfId="1860"/>
    <cellStyle name="Normal 6 10 3 2 3" xfId="2368"/>
    <cellStyle name="Normal 6 10 3 3" xfId="1612"/>
    <cellStyle name="Normal 6 10 3 4" xfId="2120"/>
    <cellStyle name="Normal 6 10 4" xfId="1230"/>
    <cellStyle name="Normal 6 10 4 2" xfId="1736"/>
    <cellStyle name="Normal 6 10 4 3" xfId="2244"/>
    <cellStyle name="Normal 6 10 5" xfId="1488"/>
    <cellStyle name="Normal 6 10 6" xfId="1996"/>
    <cellStyle name="Normal 6 11" xfId="853"/>
    <cellStyle name="Normal 6 12" xfId="528"/>
    <cellStyle name="Normal 6 2" xfId="175"/>
    <cellStyle name="Normal 6 2 10" xfId="1967"/>
    <cellStyle name="Normal 6 2 11" xfId="529"/>
    <cellStyle name="Normal 6 2 2" xfId="215"/>
    <cellStyle name="Normal 6 2 2 2" xfId="345"/>
    <cellStyle name="Normal 6 2 2 2 2" xfId="398"/>
    <cellStyle name="Normal 6 2 2 2 2 2" xfId="1434"/>
    <cellStyle name="Normal 6 2 2 2 2 2 2" xfId="1940"/>
    <cellStyle name="Normal 6 2 2 2 2 2 3" xfId="2448"/>
    <cellStyle name="Normal 6 2 2 2 2 3" xfId="1692"/>
    <cellStyle name="Normal 6 2 2 2 2 4" xfId="2200"/>
    <cellStyle name="Normal 6 2 2 2 2 5" xfId="1186"/>
    <cellStyle name="Normal 6 2 2 2 3" xfId="449"/>
    <cellStyle name="Normal 6 2 2 2 3 2" xfId="1816"/>
    <cellStyle name="Normal 6 2 2 2 3 3" xfId="2324"/>
    <cellStyle name="Normal 6 2 2 2 3 4" xfId="1310"/>
    <cellStyle name="Normal 6 2 2 2 4" xfId="506"/>
    <cellStyle name="Normal 6 2 2 2 4 2" xfId="1568"/>
    <cellStyle name="Normal 6 2 2 2 5" xfId="2076"/>
    <cellStyle name="Normal 6 2 2 2 6" xfId="1062"/>
    <cellStyle name="Normal 6 2 2 3" xfId="357"/>
    <cellStyle name="Normal 6 2 2 3 2" xfId="1362"/>
    <cellStyle name="Normal 6 2 2 3 2 2" xfId="1868"/>
    <cellStyle name="Normal 6 2 2 3 2 3" xfId="2376"/>
    <cellStyle name="Normal 6 2 2 3 3" xfId="1620"/>
    <cellStyle name="Normal 6 2 2 3 4" xfId="2128"/>
    <cellStyle name="Normal 6 2 2 3 5" xfId="1114"/>
    <cellStyle name="Normal 6 2 2 4" xfId="409"/>
    <cellStyle name="Normal 6 2 2 4 2" xfId="1496"/>
    <cellStyle name="Normal 6 2 2 4 3" xfId="2004"/>
    <cellStyle name="Normal 6 2 2 4 4" xfId="990"/>
    <cellStyle name="Normal 6 2 2 5" xfId="477"/>
    <cellStyle name="Normal 6 2 2 5 2" xfId="1744"/>
    <cellStyle name="Normal 6 2 2 5 3" xfId="2252"/>
    <cellStyle name="Normal 6 2 2 5 4" xfId="1238"/>
    <cellStyle name="Normal 6 2 2 6" xfId="556"/>
    <cellStyle name="Normal 6 2 2 7" xfId="1464"/>
    <cellStyle name="Normal 6 2 2 8" xfId="1971"/>
    <cellStyle name="Normal 6 2 2 9" xfId="530"/>
    <cellStyle name="Normal 6 2 3" xfId="305"/>
    <cellStyle name="Normal 6 2 3 2" xfId="394"/>
    <cellStyle name="Normal 6 2 3 2 2" xfId="1187"/>
    <cellStyle name="Normal 6 2 3 2 2 2" xfId="1435"/>
    <cellStyle name="Normal 6 2 3 2 2 2 2" xfId="1941"/>
    <cellStyle name="Normal 6 2 3 2 2 2 3" xfId="2449"/>
    <cellStyle name="Normal 6 2 3 2 2 3" xfId="1693"/>
    <cellStyle name="Normal 6 2 3 2 2 4" xfId="2201"/>
    <cellStyle name="Normal 6 2 3 2 3" xfId="1311"/>
    <cellStyle name="Normal 6 2 3 2 3 2" xfId="1817"/>
    <cellStyle name="Normal 6 2 3 2 3 3" xfId="2325"/>
    <cellStyle name="Normal 6 2 3 2 4" xfId="1569"/>
    <cellStyle name="Normal 6 2 3 2 5" xfId="2077"/>
    <cellStyle name="Normal 6 2 3 2 6" xfId="1063"/>
    <cellStyle name="Normal 6 2 3 3" xfId="445"/>
    <cellStyle name="Normal 6 2 3 3 2" xfId="1382"/>
    <cellStyle name="Normal 6 2 3 3 2 2" xfId="1888"/>
    <cellStyle name="Normal 6 2 3 3 2 3" xfId="2396"/>
    <cellStyle name="Normal 6 2 3 3 3" xfId="1640"/>
    <cellStyle name="Normal 6 2 3 3 4" xfId="2148"/>
    <cellStyle name="Normal 6 2 3 3 5" xfId="1134"/>
    <cellStyle name="Normal 6 2 3 4" xfId="502"/>
    <cellStyle name="Normal 6 2 3 4 2" xfId="1764"/>
    <cellStyle name="Normal 6 2 3 4 3" xfId="2272"/>
    <cellStyle name="Normal 6 2 3 4 4" xfId="1258"/>
    <cellStyle name="Normal 6 2 3 5" xfId="1516"/>
    <cellStyle name="Normal 6 2 3 6" xfId="2024"/>
    <cellStyle name="Normal 6 2 3 7" xfId="1010"/>
    <cellStyle name="Normal 6 2 4" xfId="353"/>
    <cellStyle name="Normal 6 2 4 2" xfId="1185"/>
    <cellStyle name="Normal 6 2 4 2 2" xfId="1433"/>
    <cellStyle name="Normal 6 2 4 2 2 2" xfId="1939"/>
    <cellStyle name="Normal 6 2 4 2 2 3" xfId="2447"/>
    <cellStyle name="Normal 6 2 4 2 3" xfId="1691"/>
    <cellStyle name="Normal 6 2 4 2 4" xfId="2199"/>
    <cellStyle name="Normal 6 2 4 3" xfId="1309"/>
    <cellStyle name="Normal 6 2 4 3 2" xfId="1815"/>
    <cellStyle name="Normal 6 2 4 3 3" xfId="2323"/>
    <cellStyle name="Normal 6 2 4 4" xfId="1567"/>
    <cellStyle name="Normal 6 2 4 5" xfId="2075"/>
    <cellStyle name="Normal 6 2 4 6" xfId="1061"/>
    <cellStyle name="Normal 6 2 5" xfId="405"/>
    <cellStyle name="Normal 6 2 5 2" xfId="1340"/>
    <cellStyle name="Normal 6 2 5 2 2" xfId="1846"/>
    <cellStyle name="Normal 6 2 5 2 3" xfId="2354"/>
    <cellStyle name="Normal 6 2 5 3" xfId="1598"/>
    <cellStyle name="Normal 6 2 5 4" xfId="2106"/>
    <cellStyle name="Normal 6 2 5 5" xfId="1092"/>
    <cellStyle name="Normal 6 2 6" xfId="473"/>
    <cellStyle name="Normal 6 2 6 2" xfId="1474"/>
    <cellStyle name="Normal 6 2 6 3" xfId="1982"/>
    <cellStyle name="Normal 6 2 6 4" xfId="960"/>
    <cellStyle name="Normal 6 2 7" xfId="1216"/>
    <cellStyle name="Normal 6 2 7 2" xfId="1722"/>
    <cellStyle name="Normal 6 2 7 3" xfId="2230"/>
    <cellStyle name="Normal 6 2 8" xfId="552"/>
    <cellStyle name="Normal 6 2 9" xfId="1460"/>
    <cellStyle name="Normal 6 3" xfId="531"/>
    <cellStyle name="Normal 6 3 10" xfId="1973"/>
    <cellStyle name="Normal 6 3 2" xfId="992"/>
    <cellStyle name="Normal 6 3 2 2" xfId="1065"/>
    <cellStyle name="Normal 6 3 2 2 2" xfId="1189"/>
    <cellStyle name="Normal 6 3 2 2 2 2" xfId="1437"/>
    <cellStyle name="Normal 6 3 2 2 2 2 2" xfId="1943"/>
    <cellStyle name="Normal 6 3 2 2 2 2 3" xfId="2451"/>
    <cellStyle name="Normal 6 3 2 2 2 3" xfId="1695"/>
    <cellStyle name="Normal 6 3 2 2 2 4" xfId="2203"/>
    <cellStyle name="Normal 6 3 2 2 3" xfId="1313"/>
    <cellStyle name="Normal 6 3 2 2 3 2" xfId="1819"/>
    <cellStyle name="Normal 6 3 2 2 3 3" xfId="2327"/>
    <cellStyle name="Normal 6 3 2 2 4" xfId="1571"/>
    <cellStyle name="Normal 6 3 2 2 5" xfId="2079"/>
    <cellStyle name="Normal 6 3 2 3" xfId="1116"/>
    <cellStyle name="Normal 6 3 2 3 2" xfId="1364"/>
    <cellStyle name="Normal 6 3 2 3 2 2" xfId="1870"/>
    <cellStyle name="Normal 6 3 2 3 2 3" xfId="2378"/>
    <cellStyle name="Normal 6 3 2 3 3" xfId="1622"/>
    <cellStyle name="Normal 6 3 2 3 4" xfId="2130"/>
    <cellStyle name="Normal 6 3 2 4" xfId="1240"/>
    <cellStyle name="Normal 6 3 2 4 2" xfId="1746"/>
    <cellStyle name="Normal 6 3 2 4 3" xfId="2254"/>
    <cellStyle name="Normal 6 3 2 5" xfId="1498"/>
    <cellStyle name="Normal 6 3 2 6" xfId="2006"/>
    <cellStyle name="Normal 6 3 3" xfId="1012"/>
    <cellStyle name="Normal 6 3 3 2" xfId="1066"/>
    <cellStyle name="Normal 6 3 3 2 2" xfId="1190"/>
    <cellStyle name="Normal 6 3 3 2 2 2" xfId="1438"/>
    <cellStyle name="Normal 6 3 3 2 2 2 2" xfId="1944"/>
    <cellStyle name="Normal 6 3 3 2 2 2 3" xfId="2452"/>
    <cellStyle name="Normal 6 3 3 2 2 3" xfId="1696"/>
    <cellStyle name="Normal 6 3 3 2 2 4" xfId="2204"/>
    <cellStyle name="Normal 6 3 3 2 3" xfId="1314"/>
    <cellStyle name="Normal 6 3 3 2 3 2" xfId="1820"/>
    <cellStyle name="Normal 6 3 3 2 3 3" xfId="2328"/>
    <cellStyle name="Normal 6 3 3 2 4" xfId="1572"/>
    <cellStyle name="Normal 6 3 3 2 5" xfId="2080"/>
    <cellStyle name="Normal 6 3 3 3" xfId="1136"/>
    <cellStyle name="Normal 6 3 3 3 2" xfId="1384"/>
    <cellStyle name="Normal 6 3 3 3 2 2" xfId="1890"/>
    <cellStyle name="Normal 6 3 3 3 2 3" xfId="2398"/>
    <cellStyle name="Normal 6 3 3 3 3" xfId="1642"/>
    <cellStyle name="Normal 6 3 3 3 4" xfId="2150"/>
    <cellStyle name="Normal 6 3 3 4" xfId="1260"/>
    <cellStyle name="Normal 6 3 3 4 2" xfId="1766"/>
    <cellStyle name="Normal 6 3 3 4 3" xfId="2274"/>
    <cellStyle name="Normal 6 3 3 5" xfId="1518"/>
    <cellStyle name="Normal 6 3 3 6" xfId="2026"/>
    <cellStyle name="Normal 6 3 4" xfId="1064"/>
    <cellStyle name="Normal 6 3 4 2" xfId="1188"/>
    <cellStyle name="Normal 6 3 4 2 2" xfId="1436"/>
    <cellStyle name="Normal 6 3 4 2 2 2" xfId="1942"/>
    <cellStyle name="Normal 6 3 4 2 2 3" xfId="2450"/>
    <cellStyle name="Normal 6 3 4 2 3" xfId="1694"/>
    <cellStyle name="Normal 6 3 4 2 4" xfId="2202"/>
    <cellStyle name="Normal 6 3 4 3" xfId="1312"/>
    <cellStyle name="Normal 6 3 4 3 2" xfId="1818"/>
    <cellStyle name="Normal 6 3 4 3 3" xfId="2326"/>
    <cellStyle name="Normal 6 3 4 4" xfId="1570"/>
    <cellStyle name="Normal 6 3 4 5" xfId="2078"/>
    <cellStyle name="Normal 6 3 5" xfId="1094"/>
    <cellStyle name="Normal 6 3 5 2" xfId="1342"/>
    <cellStyle name="Normal 6 3 5 2 2" xfId="1848"/>
    <cellStyle name="Normal 6 3 5 2 3" xfId="2356"/>
    <cellStyle name="Normal 6 3 5 3" xfId="1600"/>
    <cellStyle name="Normal 6 3 5 4" xfId="2108"/>
    <cellStyle name="Normal 6 3 6" xfId="962"/>
    <cellStyle name="Normal 6 3 6 2" xfId="1476"/>
    <cellStyle name="Normal 6 3 6 3" xfId="1984"/>
    <cellStyle name="Normal 6 3 7" xfId="1218"/>
    <cellStyle name="Normal 6 3 7 2" xfId="1724"/>
    <cellStyle name="Normal 6 3 7 3" xfId="2232"/>
    <cellStyle name="Normal 6 3 8" xfId="567"/>
    <cellStyle name="Normal 6 3 9" xfId="1466"/>
    <cellStyle name="Normal 6 4" xfId="964"/>
    <cellStyle name="Normal 6 4 2" xfId="994"/>
    <cellStyle name="Normal 6 4 2 2" xfId="1068"/>
    <cellStyle name="Normal 6 4 2 2 2" xfId="1192"/>
    <cellStyle name="Normal 6 4 2 2 2 2" xfId="1440"/>
    <cellStyle name="Normal 6 4 2 2 2 2 2" xfId="1946"/>
    <cellStyle name="Normal 6 4 2 2 2 2 3" xfId="2454"/>
    <cellStyle name="Normal 6 4 2 2 2 3" xfId="1698"/>
    <cellStyle name="Normal 6 4 2 2 2 4" xfId="2206"/>
    <cellStyle name="Normal 6 4 2 2 3" xfId="1316"/>
    <cellStyle name="Normal 6 4 2 2 3 2" xfId="1822"/>
    <cellStyle name="Normal 6 4 2 2 3 3" xfId="2330"/>
    <cellStyle name="Normal 6 4 2 2 4" xfId="1574"/>
    <cellStyle name="Normal 6 4 2 2 5" xfId="2082"/>
    <cellStyle name="Normal 6 4 2 3" xfId="1118"/>
    <cellStyle name="Normal 6 4 2 3 2" xfId="1366"/>
    <cellStyle name="Normal 6 4 2 3 2 2" xfId="1872"/>
    <cellStyle name="Normal 6 4 2 3 2 3" xfId="2380"/>
    <cellStyle name="Normal 6 4 2 3 3" xfId="1624"/>
    <cellStyle name="Normal 6 4 2 3 4" xfId="2132"/>
    <cellStyle name="Normal 6 4 2 4" xfId="1242"/>
    <cellStyle name="Normal 6 4 2 4 2" xfId="1748"/>
    <cellStyle name="Normal 6 4 2 4 3" xfId="2256"/>
    <cellStyle name="Normal 6 4 2 5" xfId="1500"/>
    <cellStyle name="Normal 6 4 2 6" xfId="2008"/>
    <cellStyle name="Normal 6 4 3" xfId="1014"/>
    <cellStyle name="Normal 6 4 3 2" xfId="1069"/>
    <cellStyle name="Normal 6 4 3 2 2" xfId="1193"/>
    <cellStyle name="Normal 6 4 3 2 2 2" xfId="1441"/>
    <cellStyle name="Normal 6 4 3 2 2 2 2" xfId="1947"/>
    <cellStyle name="Normal 6 4 3 2 2 2 3" xfId="2455"/>
    <cellStyle name="Normal 6 4 3 2 2 3" xfId="1699"/>
    <cellStyle name="Normal 6 4 3 2 2 4" xfId="2207"/>
    <cellStyle name="Normal 6 4 3 2 3" xfId="1317"/>
    <cellStyle name="Normal 6 4 3 2 3 2" xfId="1823"/>
    <cellStyle name="Normal 6 4 3 2 3 3" xfId="2331"/>
    <cellStyle name="Normal 6 4 3 2 4" xfId="1575"/>
    <cellStyle name="Normal 6 4 3 2 5" xfId="2083"/>
    <cellStyle name="Normal 6 4 3 3" xfId="1138"/>
    <cellStyle name="Normal 6 4 3 3 2" xfId="1386"/>
    <cellStyle name="Normal 6 4 3 3 2 2" xfId="1892"/>
    <cellStyle name="Normal 6 4 3 3 2 3" xfId="2400"/>
    <cellStyle name="Normal 6 4 3 3 3" xfId="1644"/>
    <cellStyle name="Normal 6 4 3 3 4" xfId="2152"/>
    <cellStyle name="Normal 6 4 3 4" xfId="1262"/>
    <cellStyle name="Normal 6 4 3 4 2" xfId="1768"/>
    <cellStyle name="Normal 6 4 3 4 3" xfId="2276"/>
    <cellStyle name="Normal 6 4 3 5" xfId="1520"/>
    <cellStyle name="Normal 6 4 3 6" xfId="2028"/>
    <cellStyle name="Normal 6 4 4" xfId="1067"/>
    <cellStyle name="Normal 6 4 4 2" xfId="1191"/>
    <cellStyle name="Normal 6 4 4 2 2" xfId="1439"/>
    <cellStyle name="Normal 6 4 4 2 2 2" xfId="1945"/>
    <cellStyle name="Normal 6 4 4 2 2 3" xfId="2453"/>
    <cellStyle name="Normal 6 4 4 2 3" xfId="1697"/>
    <cellStyle name="Normal 6 4 4 2 4" xfId="2205"/>
    <cellStyle name="Normal 6 4 4 3" xfId="1315"/>
    <cellStyle name="Normal 6 4 4 3 2" xfId="1821"/>
    <cellStyle name="Normal 6 4 4 3 3" xfId="2329"/>
    <cellStyle name="Normal 6 4 4 4" xfId="1573"/>
    <cellStyle name="Normal 6 4 4 5" xfId="2081"/>
    <cellStyle name="Normal 6 4 5" xfId="1096"/>
    <cellStyle name="Normal 6 4 5 2" xfId="1344"/>
    <cellStyle name="Normal 6 4 5 2 2" xfId="1850"/>
    <cellStyle name="Normal 6 4 5 2 3" xfId="2358"/>
    <cellStyle name="Normal 6 4 5 3" xfId="1602"/>
    <cellStyle name="Normal 6 4 5 4" xfId="2110"/>
    <cellStyle name="Normal 6 4 6" xfId="1220"/>
    <cellStyle name="Normal 6 4 6 2" xfId="1726"/>
    <cellStyle name="Normal 6 4 6 3" xfId="2234"/>
    <cellStyle name="Normal 6 4 7" xfId="1478"/>
    <cellStyle name="Normal 6 4 8" xfId="1986"/>
    <cellStyle name="Normal 6 5" xfId="966"/>
    <cellStyle name="Normal 6 5 2" xfId="996"/>
    <cellStyle name="Normal 6 5 2 2" xfId="1071"/>
    <cellStyle name="Normal 6 5 2 2 2" xfId="1195"/>
    <cellStyle name="Normal 6 5 2 2 2 2" xfId="1443"/>
    <cellStyle name="Normal 6 5 2 2 2 2 2" xfId="1949"/>
    <cellStyle name="Normal 6 5 2 2 2 2 3" xfId="2457"/>
    <cellStyle name="Normal 6 5 2 2 2 3" xfId="1701"/>
    <cellStyle name="Normal 6 5 2 2 2 4" xfId="2209"/>
    <cellStyle name="Normal 6 5 2 2 3" xfId="1319"/>
    <cellStyle name="Normal 6 5 2 2 3 2" xfId="1825"/>
    <cellStyle name="Normal 6 5 2 2 3 3" xfId="2333"/>
    <cellStyle name="Normal 6 5 2 2 4" xfId="1577"/>
    <cellStyle name="Normal 6 5 2 2 5" xfId="2085"/>
    <cellStyle name="Normal 6 5 2 3" xfId="1120"/>
    <cellStyle name="Normal 6 5 2 3 2" xfId="1368"/>
    <cellStyle name="Normal 6 5 2 3 2 2" xfId="1874"/>
    <cellStyle name="Normal 6 5 2 3 2 3" xfId="2382"/>
    <cellStyle name="Normal 6 5 2 3 3" xfId="1626"/>
    <cellStyle name="Normal 6 5 2 3 4" xfId="2134"/>
    <cellStyle name="Normal 6 5 2 4" xfId="1244"/>
    <cellStyle name="Normal 6 5 2 4 2" xfId="1750"/>
    <cellStyle name="Normal 6 5 2 4 3" xfId="2258"/>
    <cellStyle name="Normal 6 5 2 5" xfId="1502"/>
    <cellStyle name="Normal 6 5 2 6" xfId="2010"/>
    <cellStyle name="Normal 6 5 3" xfId="1016"/>
    <cellStyle name="Normal 6 5 3 2" xfId="1072"/>
    <cellStyle name="Normal 6 5 3 2 2" xfId="1196"/>
    <cellStyle name="Normal 6 5 3 2 2 2" xfId="1444"/>
    <cellStyle name="Normal 6 5 3 2 2 2 2" xfId="1950"/>
    <cellStyle name="Normal 6 5 3 2 2 2 3" xfId="2458"/>
    <cellStyle name="Normal 6 5 3 2 2 3" xfId="1702"/>
    <cellStyle name="Normal 6 5 3 2 2 4" xfId="2210"/>
    <cellStyle name="Normal 6 5 3 2 3" xfId="1320"/>
    <cellStyle name="Normal 6 5 3 2 3 2" xfId="1826"/>
    <cellStyle name="Normal 6 5 3 2 3 3" xfId="2334"/>
    <cellStyle name="Normal 6 5 3 2 4" xfId="1578"/>
    <cellStyle name="Normal 6 5 3 2 5" xfId="2086"/>
    <cellStyle name="Normal 6 5 3 3" xfId="1140"/>
    <cellStyle name="Normal 6 5 3 3 2" xfId="1388"/>
    <cellStyle name="Normal 6 5 3 3 2 2" xfId="1894"/>
    <cellStyle name="Normal 6 5 3 3 2 3" xfId="2402"/>
    <cellStyle name="Normal 6 5 3 3 3" xfId="1646"/>
    <cellStyle name="Normal 6 5 3 3 4" xfId="2154"/>
    <cellStyle name="Normal 6 5 3 4" xfId="1264"/>
    <cellStyle name="Normal 6 5 3 4 2" xfId="1770"/>
    <cellStyle name="Normal 6 5 3 4 3" xfId="2278"/>
    <cellStyle name="Normal 6 5 3 5" xfId="1522"/>
    <cellStyle name="Normal 6 5 3 6" xfId="2030"/>
    <cellStyle name="Normal 6 5 4" xfId="1070"/>
    <cellStyle name="Normal 6 5 4 2" xfId="1194"/>
    <cellStyle name="Normal 6 5 4 2 2" xfId="1442"/>
    <cellStyle name="Normal 6 5 4 2 2 2" xfId="1948"/>
    <cellStyle name="Normal 6 5 4 2 2 3" xfId="2456"/>
    <cellStyle name="Normal 6 5 4 2 3" xfId="1700"/>
    <cellStyle name="Normal 6 5 4 2 4" xfId="2208"/>
    <cellStyle name="Normal 6 5 4 3" xfId="1318"/>
    <cellStyle name="Normal 6 5 4 3 2" xfId="1824"/>
    <cellStyle name="Normal 6 5 4 3 3" xfId="2332"/>
    <cellStyle name="Normal 6 5 4 4" xfId="1576"/>
    <cellStyle name="Normal 6 5 4 5" xfId="2084"/>
    <cellStyle name="Normal 6 5 5" xfId="1098"/>
    <cellStyle name="Normal 6 5 5 2" xfId="1346"/>
    <cellStyle name="Normal 6 5 5 2 2" xfId="1852"/>
    <cellStyle name="Normal 6 5 5 2 3" xfId="2360"/>
    <cellStyle name="Normal 6 5 5 3" xfId="1604"/>
    <cellStyle name="Normal 6 5 5 4" xfId="2112"/>
    <cellStyle name="Normal 6 5 6" xfId="1222"/>
    <cellStyle name="Normal 6 5 6 2" xfId="1728"/>
    <cellStyle name="Normal 6 5 6 3" xfId="2236"/>
    <cellStyle name="Normal 6 5 7" xfId="1480"/>
    <cellStyle name="Normal 6 5 8" xfId="1988"/>
    <cellStyle name="Normal 6 6" xfId="968"/>
    <cellStyle name="Normal 6 6 2" xfId="998"/>
    <cellStyle name="Normal 6 6 2 2" xfId="1074"/>
    <cellStyle name="Normal 6 6 2 2 2" xfId="1198"/>
    <cellStyle name="Normal 6 6 2 2 2 2" xfId="1446"/>
    <cellStyle name="Normal 6 6 2 2 2 2 2" xfId="1952"/>
    <cellStyle name="Normal 6 6 2 2 2 2 3" xfId="2460"/>
    <cellStyle name="Normal 6 6 2 2 2 3" xfId="1704"/>
    <cellStyle name="Normal 6 6 2 2 2 4" xfId="2212"/>
    <cellStyle name="Normal 6 6 2 2 3" xfId="1322"/>
    <cellStyle name="Normal 6 6 2 2 3 2" xfId="1828"/>
    <cellStyle name="Normal 6 6 2 2 3 3" xfId="2336"/>
    <cellStyle name="Normal 6 6 2 2 4" xfId="1580"/>
    <cellStyle name="Normal 6 6 2 2 5" xfId="2088"/>
    <cellStyle name="Normal 6 6 2 3" xfId="1122"/>
    <cellStyle name="Normal 6 6 2 3 2" xfId="1370"/>
    <cellStyle name="Normal 6 6 2 3 2 2" xfId="1876"/>
    <cellStyle name="Normal 6 6 2 3 2 3" xfId="2384"/>
    <cellStyle name="Normal 6 6 2 3 3" xfId="1628"/>
    <cellStyle name="Normal 6 6 2 3 4" xfId="2136"/>
    <cellStyle name="Normal 6 6 2 4" xfId="1246"/>
    <cellStyle name="Normal 6 6 2 4 2" xfId="1752"/>
    <cellStyle name="Normal 6 6 2 4 3" xfId="2260"/>
    <cellStyle name="Normal 6 6 2 5" xfId="1504"/>
    <cellStyle name="Normal 6 6 2 6" xfId="2012"/>
    <cellStyle name="Normal 6 6 3" xfId="1018"/>
    <cellStyle name="Normal 6 6 3 2" xfId="1075"/>
    <cellStyle name="Normal 6 6 3 2 2" xfId="1199"/>
    <cellStyle name="Normal 6 6 3 2 2 2" xfId="1447"/>
    <cellStyle name="Normal 6 6 3 2 2 2 2" xfId="1953"/>
    <cellStyle name="Normal 6 6 3 2 2 2 3" xfId="2461"/>
    <cellStyle name="Normal 6 6 3 2 2 3" xfId="1705"/>
    <cellStyle name="Normal 6 6 3 2 2 4" xfId="2213"/>
    <cellStyle name="Normal 6 6 3 2 3" xfId="1323"/>
    <cellStyle name="Normal 6 6 3 2 3 2" xfId="1829"/>
    <cellStyle name="Normal 6 6 3 2 3 3" xfId="2337"/>
    <cellStyle name="Normal 6 6 3 2 4" xfId="1581"/>
    <cellStyle name="Normal 6 6 3 2 5" xfId="2089"/>
    <cellStyle name="Normal 6 6 3 3" xfId="1142"/>
    <cellStyle name="Normal 6 6 3 3 2" xfId="1390"/>
    <cellStyle name="Normal 6 6 3 3 2 2" xfId="1896"/>
    <cellStyle name="Normal 6 6 3 3 2 3" xfId="2404"/>
    <cellStyle name="Normal 6 6 3 3 3" xfId="1648"/>
    <cellStyle name="Normal 6 6 3 3 4" xfId="2156"/>
    <cellStyle name="Normal 6 6 3 4" xfId="1266"/>
    <cellStyle name="Normal 6 6 3 4 2" xfId="1772"/>
    <cellStyle name="Normal 6 6 3 4 3" xfId="2280"/>
    <cellStyle name="Normal 6 6 3 5" xfId="1524"/>
    <cellStyle name="Normal 6 6 3 6" xfId="2032"/>
    <cellStyle name="Normal 6 6 4" xfId="1073"/>
    <cellStyle name="Normal 6 6 4 2" xfId="1197"/>
    <cellStyle name="Normal 6 6 4 2 2" xfId="1445"/>
    <cellStyle name="Normal 6 6 4 2 2 2" xfId="1951"/>
    <cellStyle name="Normal 6 6 4 2 2 3" xfId="2459"/>
    <cellStyle name="Normal 6 6 4 2 3" xfId="1703"/>
    <cellStyle name="Normal 6 6 4 2 4" xfId="2211"/>
    <cellStyle name="Normal 6 6 4 3" xfId="1321"/>
    <cellStyle name="Normal 6 6 4 3 2" xfId="1827"/>
    <cellStyle name="Normal 6 6 4 3 3" xfId="2335"/>
    <cellStyle name="Normal 6 6 4 4" xfId="1579"/>
    <cellStyle name="Normal 6 6 4 5" xfId="2087"/>
    <cellStyle name="Normal 6 6 5" xfId="1100"/>
    <cellStyle name="Normal 6 6 5 2" xfId="1348"/>
    <cellStyle name="Normal 6 6 5 2 2" xfId="1854"/>
    <cellStyle name="Normal 6 6 5 2 3" xfId="2362"/>
    <cellStyle name="Normal 6 6 5 3" xfId="1606"/>
    <cellStyle name="Normal 6 6 5 4" xfId="2114"/>
    <cellStyle name="Normal 6 6 6" xfId="1224"/>
    <cellStyle name="Normal 6 6 6 2" xfId="1730"/>
    <cellStyle name="Normal 6 6 6 3" xfId="2238"/>
    <cellStyle name="Normal 6 6 7" xfId="1482"/>
    <cellStyle name="Normal 6 6 8" xfId="1990"/>
    <cellStyle name="Normal 6 7" xfId="970"/>
    <cellStyle name="Normal 6 7 2" xfId="1000"/>
    <cellStyle name="Normal 6 7 2 2" xfId="1077"/>
    <cellStyle name="Normal 6 7 2 2 2" xfId="1201"/>
    <cellStyle name="Normal 6 7 2 2 2 2" xfId="1449"/>
    <cellStyle name="Normal 6 7 2 2 2 2 2" xfId="1955"/>
    <cellStyle name="Normal 6 7 2 2 2 2 3" xfId="2463"/>
    <cellStyle name="Normal 6 7 2 2 2 3" xfId="1707"/>
    <cellStyle name="Normal 6 7 2 2 2 4" xfId="2215"/>
    <cellStyle name="Normal 6 7 2 2 3" xfId="1325"/>
    <cellStyle name="Normal 6 7 2 2 3 2" xfId="1831"/>
    <cellStyle name="Normal 6 7 2 2 3 3" xfId="2339"/>
    <cellStyle name="Normal 6 7 2 2 4" xfId="1583"/>
    <cellStyle name="Normal 6 7 2 2 5" xfId="2091"/>
    <cellStyle name="Normal 6 7 2 3" xfId="1124"/>
    <cellStyle name="Normal 6 7 2 3 2" xfId="1372"/>
    <cellStyle name="Normal 6 7 2 3 2 2" xfId="1878"/>
    <cellStyle name="Normal 6 7 2 3 2 3" xfId="2386"/>
    <cellStyle name="Normal 6 7 2 3 3" xfId="1630"/>
    <cellStyle name="Normal 6 7 2 3 4" xfId="2138"/>
    <cellStyle name="Normal 6 7 2 4" xfId="1248"/>
    <cellStyle name="Normal 6 7 2 4 2" xfId="1754"/>
    <cellStyle name="Normal 6 7 2 4 3" xfId="2262"/>
    <cellStyle name="Normal 6 7 2 5" xfId="1506"/>
    <cellStyle name="Normal 6 7 2 6" xfId="2014"/>
    <cellStyle name="Normal 6 7 3" xfId="1020"/>
    <cellStyle name="Normal 6 7 3 2" xfId="1078"/>
    <cellStyle name="Normal 6 7 3 2 2" xfId="1202"/>
    <cellStyle name="Normal 6 7 3 2 2 2" xfId="1450"/>
    <cellStyle name="Normal 6 7 3 2 2 2 2" xfId="1956"/>
    <cellStyle name="Normal 6 7 3 2 2 2 3" xfId="2464"/>
    <cellStyle name="Normal 6 7 3 2 2 3" xfId="1708"/>
    <cellStyle name="Normal 6 7 3 2 2 4" xfId="2216"/>
    <cellStyle name="Normal 6 7 3 2 3" xfId="1326"/>
    <cellStyle name="Normal 6 7 3 2 3 2" xfId="1832"/>
    <cellStyle name="Normal 6 7 3 2 3 3" xfId="2340"/>
    <cellStyle name="Normal 6 7 3 2 4" xfId="1584"/>
    <cellStyle name="Normal 6 7 3 2 5" xfId="2092"/>
    <cellStyle name="Normal 6 7 3 3" xfId="1144"/>
    <cellStyle name="Normal 6 7 3 3 2" xfId="1392"/>
    <cellStyle name="Normal 6 7 3 3 2 2" xfId="1898"/>
    <cellStyle name="Normal 6 7 3 3 2 3" xfId="2406"/>
    <cellStyle name="Normal 6 7 3 3 3" xfId="1650"/>
    <cellStyle name="Normal 6 7 3 3 4" xfId="2158"/>
    <cellStyle name="Normal 6 7 3 4" xfId="1268"/>
    <cellStyle name="Normal 6 7 3 4 2" xfId="1774"/>
    <cellStyle name="Normal 6 7 3 4 3" xfId="2282"/>
    <cellStyle name="Normal 6 7 3 5" xfId="1526"/>
    <cellStyle name="Normal 6 7 3 6" xfId="2034"/>
    <cellStyle name="Normal 6 7 4" xfId="1076"/>
    <cellStyle name="Normal 6 7 4 2" xfId="1200"/>
    <cellStyle name="Normal 6 7 4 2 2" xfId="1448"/>
    <cellStyle name="Normal 6 7 4 2 2 2" xfId="1954"/>
    <cellStyle name="Normal 6 7 4 2 2 3" xfId="2462"/>
    <cellStyle name="Normal 6 7 4 2 3" xfId="1706"/>
    <cellStyle name="Normal 6 7 4 2 4" xfId="2214"/>
    <cellStyle name="Normal 6 7 4 3" xfId="1324"/>
    <cellStyle name="Normal 6 7 4 3 2" xfId="1830"/>
    <cellStyle name="Normal 6 7 4 3 3" xfId="2338"/>
    <cellStyle name="Normal 6 7 4 4" xfId="1582"/>
    <cellStyle name="Normal 6 7 4 5" xfId="2090"/>
    <cellStyle name="Normal 6 7 5" xfId="1102"/>
    <cellStyle name="Normal 6 7 5 2" xfId="1350"/>
    <cellStyle name="Normal 6 7 5 2 2" xfId="1856"/>
    <cellStyle name="Normal 6 7 5 2 3" xfId="2364"/>
    <cellStyle name="Normal 6 7 5 3" xfId="1608"/>
    <cellStyle name="Normal 6 7 5 4" xfId="2116"/>
    <cellStyle name="Normal 6 7 6" xfId="1226"/>
    <cellStyle name="Normal 6 7 6 2" xfId="1732"/>
    <cellStyle name="Normal 6 7 6 3" xfId="2240"/>
    <cellStyle name="Normal 6 7 7" xfId="1484"/>
    <cellStyle name="Normal 6 7 8" xfId="1992"/>
    <cellStyle name="Normal 6 8" xfId="972"/>
    <cellStyle name="Normal 6 8 2" xfId="1002"/>
    <cellStyle name="Normal 6 8 2 2" xfId="1080"/>
    <cellStyle name="Normal 6 8 2 2 2" xfId="1204"/>
    <cellStyle name="Normal 6 8 2 2 2 2" xfId="1452"/>
    <cellStyle name="Normal 6 8 2 2 2 2 2" xfId="1958"/>
    <cellStyle name="Normal 6 8 2 2 2 2 3" xfId="2466"/>
    <cellStyle name="Normal 6 8 2 2 2 3" xfId="1710"/>
    <cellStyle name="Normal 6 8 2 2 2 4" xfId="2218"/>
    <cellStyle name="Normal 6 8 2 2 3" xfId="1328"/>
    <cellStyle name="Normal 6 8 2 2 3 2" xfId="1834"/>
    <cellStyle name="Normal 6 8 2 2 3 3" xfId="2342"/>
    <cellStyle name="Normal 6 8 2 2 4" xfId="1586"/>
    <cellStyle name="Normal 6 8 2 2 5" xfId="2094"/>
    <cellStyle name="Normal 6 8 2 3" xfId="1126"/>
    <cellStyle name="Normal 6 8 2 3 2" xfId="1374"/>
    <cellStyle name="Normal 6 8 2 3 2 2" xfId="1880"/>
    <cellStyle name="Normal 6 8 2 3 2 3" xfId="2388"/>
    <cellStyle name="Normal 6 8 2 3 3" xfId="1632"/>
    <cellStyle name="Normal 6 8 2 3 4" xfId="2140"/>
    <cellStyle name="Normal 6 8 2 4" xfId="1250"/>
    <cellStyle name="Normal 6 8 2 4 2" xfId="1756"/>
    <cellStyle name="Normal 6 8 2 4 3" xfId="2264"/>
    <cellStyle name="Normal 6 8 2 5" xfId="1508"/>
    <cellStyle name="Normal 6 8 2 6" xfId="2016"/>
    <cellStyle name="Normal 6 8 3" xfId="1022"/>
    <cellStyle name="Normal 6 8 3 2" xfId="1081"/>
    <cellStyle name="Normal 6 8 3 2 2" xfId="1205"/>
    <cellStyle name="Normal 6 8 3 2 2 2" xfId="1453"/>
    <cellStyle name="Normal 6 8 3 2 2 2 2" xfId="1959"/>
    <cellStyle name="Normal 6 8 3 2 2 2 3" xfId="2467"/>
    <cellStyle name="Normal 6 8 3 2 2 3" xfId="1711"/>
    <cellStyle name="Normal 6 8 3 2 2 4" xfId="2219"/>
    <cellStyle name="Normal 6 8 3 2 3" xfId="1329"/>
    <cellStyle name="Normal 6 8 3 2 3 2" xfId="1835"/>
    <cellStyle name="Normal 6 8 3 2 3 3" xfId="2343"/>
    <cellStyle name="Normal 6 8 3 2 4" xfId="1587"/>
    <cellStyle name="Normal 6 8 3 2 5" xfId="2095"/>
    <cellStyle name="Normal 6 8 3 3" xfId="1146"/>
    <cellStyle name="Normal 6 8 3 3 2" xfId="1394"/>
    <cellStyle name="Normal 6 8 3 3 2 2" xfId="1900"/>
    <cellStyle name="Normal 6 8 3 3 2 3" xfId="2408"/>
    <cellStyle name="Normal 6 8 3 3 3" xfId="1652"/>
    <cellStyle name="Normal 6 8 3 3 4" xfId="2160"/>
    <cellStyle name="Normal 6 8 3 4" xfId="1270"/>
    <cellStyle name="Normal 6 8 3 4 2" xfId="1776"/>
    <cellStyle name="Normal 6 8 3 4 3" xfId="2284"/>
    <cellStyle name="Normal 6 8 3 5" xfId="1528"/>
    <cellStyle name="Normal 6 8 3 6" xfId="2036"/>
    <cellStyle name="Normal 6 8 4" xfId="1079"/>
    <cellStyle name="Normal 6 8 4 2" xfId="1203"/>
    <cellStyle name="Normal 6 8 4 2 2" xfId="1451"/>
    <cellStyle name="Normal 6 8 4 2 2 2" xfId="1957"/>
    <cellStyle name="Normal 6 8 4 2 2 3" xfId="2465"/>
    <cellStyle name="Normal 6 8 4 2 3" xfId="1709"/>
    <cellStyle name="Normal 6 8 4 2 4" xfId="2217"/>
    <cellStyle name="Normal 6 8 4 3" xfId="1327"/>
    <cellStyle name="Normal 6 8 4 3 2" xfId="1833"/>
    <cellStyle name="Normal 6 8 4 3 3" xfId="2341"/>
    <cellStyle name="Normal 6 8 4 4" xfId="1585"/>
    <cellStyle name="Normal 6 8 4 5" xfId="2093"/>
    <cellStyle name="Normal 6 8 5" xfId="1104"/>
    <cellStyle name="Normal 6 8 5 2" xfId="1352"/>
    <cellStyle name="Normal 6 8 5 2 2" xfId="1858"/>
    <cellStyle name="Normal 6 8 5 2 3" xfId="2366"/>
    <cellStyle name="Normal 6 8 5 3" xfId="1610"/>
    <cellStyle name="Normal 6 8 5 4" xfId="2118"/>
    <cellStyle name="Normal 6 8 6" xfId="1228"/>
    <cellStyle name="Normal 6 8 6 2" xfId="1734"/>
    <cellStyle name="Normal 6 8 6 3" xfId="2242"/>
    <cellStyle name="Normal 6 8 7" xfId="1486"/>
    <cellStyle name="Normal 6 8 8" xfId="1994"/>
    <cellStyle name="Normal 6 9" xfId="986"/>
    <cellStyle name="Normal 7" xfId="217"/>
    <cellStyle name="Normal 7 2" xfId="533"/>
    <cellStyle name="Normal 7 2 2" xfId="854"/>
    <cellStyle name="Normal 7 3" xfId="532"/>
    <cellStyle name="Normal 8" xfId="224"/>
    <cellStyle name="Normal 8 2" xfId="347"/>
    <cellStyle name="Normal 8 2 2" xfId="399"/>
    <cellStyle name="Normal 8 2 3" xfId="450"/>
    <cellStyle name="Normal 8 2 4" xfId="507"/>
    <cellStyle name="Normal 8 2 5" xfId="855"/>
    <cellStyle name="Normal 8 3" xfId="370"/>
    <cellStyle name="Normal 8 4" xfId="422"/>
    <cellStyle name="Normal 8 5" xfId="478"/>
    <cellStyle name="Normal 8 6" xfId="534"/>
    <cellStyle name="Normal 9" xfId="228"/>
    <cellStyle name="Normal 9 2" xfId="374"/>
    <cellStyle name="Normal 9 2 2" xfId="856"/>
    <cellStyle name="Normal 9 3" xfId="425"/>
    <cellStyle name="Normal 9 4" xfId="482"/>
    <cellStyle name="Normal 9 5" xfId="535"/>
    <cellStyle name="Normal_Differences" xfId="3"/>
    <cellStyle name="Normal_EHG Rate Design" xfId="4"/>
    <cellStyle name="Normal_MGS LGS Rate Design" xfId="5"/>
    <cellStyle name="Normal_MS Rate Design" xfId="6"/>
    <cellStyle name="Normal_OL Rate Design" xfId="7"/>
    <cellStyle name="Normal_QP Rate Design" xfId="8"/>
    <cellStyle name="Note 10" xfId="857"/>
    <cellStyle name="Note 11" xfId="858"/>
    <cellStyle name="Note 2" xfId="128"/>
    <cellStyle name="Note 2 2" xfId="197"/>
    <cellStyle name="Note 2 2 2" xfId="327"/>
    <cellStyle name="Note 2 2 2 2" xfId="860"/>
    <cellStyle name="Note 2 3" xfId="273"/>
    <cellStyle name="Note 2 3 2" xfId="859"/>
    <cellStyle name="Note 2_Allocators" xfId="861"/>
    <cellStyle name="Note 3" xfId="129"/>
    <cellStyle name="Note 3 2" xfId="198"/>
    <cellStyle name="Note 3 2 2" xfId="328"/>
    <cellStyle name="Note 3 2 2 2" xfId="863"/>
    <cellStyle name="Note 3 3" xfId="274"/>
    <cellStyle name="Note 3 3 2" xfId="864"/>
    <cellStyle name="Note 3 4" xfId="862"/>
    <cellStyle name="Note 3_Allocators" xfId="865"/>
    <cellStyle name="Note 4" xfId="130"/>
    <cellStyle name="Note 4 2" xfId="199"/>
    <cellStyle name="Note 4 2 2" xfId="329"/>
    <cellStyle name="Note 4 2 2 2" xfId="867"/>
    <cellStyle name="Note 4 3" xfId="275"/>
    <cellStyle name="Note 4 3 2" xfId="866"/>
    <cellStyle name="Note 4_Allocators" xfId="868"/>
    <cellStyle name="Note 5" xfId="127"/>
    <cellStyle name="Note 5 2" xfId="272"/>
    <cellStyle name="Note 5 2 2" xfId="869"/>
    <cellStyle name="Note 6" xfId="225"/>
    <cellStyle name="Note 6 2" xfId="348"/>
    <cellStyle name="Note 6 2 2" xfId="400"/>
    <cellStyle name="Note 6 2 3" xfId="451"/>
    <cellStyle name="Note 6 2 4" xfId="508"/>
    <cellStyle name="Note 6 2 5" xfId="871"/>
    <cellStyle name="Note 6 3" xfId="371"/>
    <cellStyle name="Note 6 3 2" xfId="870"/>
    <cellStyle name="Note 6 4" xfId="423"/>
    <cellStyle name="Note 6 5" xfId="479"/>
    <cellStyle name="Note 6 6" xfId="536"/>
    <cellStyle name="Note 6_Allocators" xfId="872"/>
    <cellStyle name="Note 7" xfId="229"/>
    <cellStyle name="Note 7 2" xfId="375"/>
    <cellStyle name="Note 7 2 2" xfId="874"/>
    <cellStyle name="Note 7 3" xfId="426"/>
    <cellStyle name="Note 7 4" xfId="483"/>
    <cellStyle name="Note 7 5" xfId="873"/>
    <cellStyle name="Note 8" xfId="454"/>
    <cellStyle name="Note 8 2" xfId="875"/>
    <cellStyle name="Note 9" xfId="876"/>
    <cellStyle name="nPlosion" xfId="877"/>
    <cellStyle name="nvision" xfId="878"/>
    <cellStyle name="Output" xfId="26" builtinId="21" customBuiltin="1"/>
    <cellStyle name="Output 2" xfId="131"/>
    <cellStyle name="Output 3" xfId="879"/>
    <cellStyle name="Output 4" xfId="880"/>
    <cellStyle name="Output 5" xfId="881"/>
    <cellStyle name="Output 6" xfId="882"/>
    <cellStyle name="Percent" xfId="9" builtinId="5"/>
    <cellStyle name="Percent 10" xfId="883"/>
    <cellStyle name="Percent 11" xfId="884"/>
    <cellStyle name="Percent 12" xfId="885"/>
    <cellStyle name="Percent 13" xfId="886"/>
    <cellStyle name="Percent 13 2" xfId="987"/>
    <cellStyle name="Percent 13 2 2" xfId="1083"/>
    <cellStyle name="Percent 13 2 2 2" xfId="1207"/>
    <cellStyle name="Percent 13 2 2 2 2" xfId="1455"/>
    <cellStyle name="Percent 13 2 2 2 2 2" xfId="1961"/>
    <cellStyle name="Percent 13 2 2 2 2 3" xfId="2469"/>
    <cellStyle name="Percent 13 2 2 2 3" xfId="1713"/>
    <cellStyle name="Percent 13 2 2 2 4" xfId="2221"/>
    <cellStyle name="Percent 13 2 2 3" xfId="1331"/>
    <cellStyle name="Percent 13 2 2 3 2" xfId="1837"/>
    <cellStyle name="Percent 13 2 2 3 3" xfId="2345"/>
    <cellStyle name="Percent 13 2 2 4" xfId="1589"/>
    <cellStyle name="Percent 13 2 2 5" xfId="2097"/>
    <cellStyle name="Percent 13 2 3" xfId="1112"/>
    <cellStyle name="Percent 13 2 3 2" xfId="1360"/>
    <cellStyle name="Percent 13 2 3 2 2" xfId="1866"/>
    <cellStyle name="Percent 13 2 3 2 3" xfId="2374"/>
    <cellStyle name="Percent 13 2 3 3" xfId="1618"/>
    <cellStyle name="Percent 13 2 3 4" xfId="2126"/>
    <cellStyle name="Percent 13 2 4" xfId="1236"/>
    <cellStyle name="Percent 13 2 4 2" xfId="1742"/>
    <cellStyle name="Percent 13 2 4 3" xfId="2250"/>
    <cellStyle name="Percent 13 2 5" xfId="1494"/>
    <cellStyle name="Percent 13 2 6" xfId="2002"/>
    <cellStyle name="Percent 13 3" xfId="1008"/>
    <cellStyle name="Percent 13 3 2" xfId="1084"/>
    <cellStyle name="Percent 13 3 2 2" xfId="1208"/>
    <cellStyle name="Percent 13 3 2 2 2" xfId="1456"/>
    <cellStyle name="Percent 13 3 2 2 2 2" xfId="1962"/>
    <cellStyle name="Percent 13 3 2 2 2 3" xfId="2470"/>
    <cellStyle name="Percent 13 3 2 2 3" xfId="1714"/>
    <cellStyle name="Percent 13 3 2 2 4" xfId="2222"/>
    <cellStyle name="Percent 13 3 2 3" xfId="1332"/>
    <cellStyle name="Percent 13 3 2 3 2" xfId="1838"/>
    <cellStyle name="Percent 13 3 2 3 3" xfId="2346"/>
    <cellStyle name="Percent 13 3 2 4" xfId="1590"/>
    <cellStyle name="Percent 13 3 2 5" xfId="2098"/>
    <cellStyle name="Percent 13 3 3" xfId="1132"/>
    <cellStyle name="Percent 13 3 3 2" xfId="1380"/>
    <cellStyle name="Percent 13 3 3 2 2" xfId="1886"/>
    <cellStyle name="Percent 13 3 3 2 3" xfId="2394"/>
    <cellStyle name="Percent 13 3 3 3" xfId="1638"/>
    <cellStyle name="Percent 13 3 3 4" xfId="2146"/>
    <cellStyle name="Percent 13 3 4" xfId="1256"/>
    <cellStyle name="Percent 13 3 4 2" xfId="1762"/>
    <cellStyle name="Percent 13 3 4 3" xfId="2270"/>
    <cellStyle name="Percent 13 3 5" xfId="1514"/>
    <cellStyle name="Percent 13 3 6" xfId="2022"/>
    <cellStyle name="Percent 13 4" xfId="1082"/>
    <cellStyle name="Percent 13 4 2" xfId="1206"/>
    <cellStyle name="Percent 13 4 2 2" xfId="1454"/>
    <cellStyle name="Percent 13 4 2 2 2" xfId="1960"/>
    <cellStyle name="Percent 13 4 2 2 3" xfId="2468"/>
    <cellStyle name="Percent 13 4 2 3" xfId="1712"/>
    <cellStyle name="Percent 13 4 2 4" xfId="2220"/>
    <cellStyle name="Percent 13 4 3" xfId="1330"/>
    <cellStyle name="Percent 13 4 3 2" xfId="1836"/>
    <cellStyle name="Percent 13 4 3 3" xfId="2344"/>
    <cellStyle name="Percent 13 4 4" xfId="1588"/>
    <cellStyle name="Percent 13 4 5" xfId="2096"/>
    <cellStyle name="Percent 13 5" xfId="1090"/>
    <cellStyle name="Percent 13 5 2" xfId="1338"/>
    <cellStyle name="Percent 13 5 2 2" xfId="1844"/>
    <cellStyle name="Percent 13 5 2 3" xfId="2352"/>
    <cellStyle name="Percent 13 5 3" xfId="1596"/>
    <cellStyle name="Percent 13 5 4" xfId="2104"/>
    <cellStyle name="Percent 13 6" xfId="1214"/>
    <cellStyle name="Percent 13 6 2" xfId="1720"/>
    <cellStyle name="Percent 13 6 3" xfId="2228"/>
    <cellStyle name="Percent 13 7" xfId="1472"/>
    <cellStyle name="Percent 13 8" xfId="1979"/>
    <cellStyle name="Percent 2" xfId="133"/>
    <cellStyle name="Percent 2 2" xfId="134"/>
    <cellStyle name="Percent 2 2 2" xfId="135"/>
    <cellStyle name="Percent 2 2 2 2" xfId="200"/>
    <cellStyle name="Percent 2 2 2 2 2" xfId="330"/>
    <cellStyle name="Percent 2 2 2 3" xfId="278"/>
    <cellStyle name="Percent 2 2 3" xfId="136"/>
    <cellStyle name="Percent 2 2 3 2" xfId="201"/>
    <cellStyle name="Percent 2 2 3 2 2" xfId="331"/>
    <cellStyle name="Percent 2 2 3 3" xfId="279"/>
    <cellStyle name="Percent 2 2 4" xfId="137"/>
    <cellStyle name="Percent 2 2 4 2" xfId="202"/>
    <cellStyle name="Percent 2 2 4 2 2" xfId="332"/>
    <cellStyle name="Percent 2 2 4 3" xfId="280"/>
    <cellStyle name="Percent 2 2 5" xfId="277"/>
    <cellStyle name="Percent 2 3" xfId="138"/>
    <cellStyle name="Percent 2 3 2" xfId="139"/>
    <cellStyle name="Percent 2 3 2 2" xfId="203"/>
    <cellStyle name="Percent 2 3 2 2 2" xfId="333"/>
    <cellStyle name="Percent 2 3 2 3" xfId="282"/>
    <cellStyle name="Percent 2 3 3" xfId="140"/>
    <cellStyle name="Percent 2 3 3 2" xfId="204"/>
    <cellStyle name="Percent 2 3 3 2 2" xfId="334"/>
    <cellStyle name="Percent 2 3 3 3" xfId="283"/>
    <cellStyle name="Percent 2 3 4" xfId="141"/>
    <cellStyle name="Percent 2 3 4 2" xfId="205"/>
    <cellStyle name="Percent 2 3 4 2 2" xfId="335"/>
    <cellStyle name="Percent 2 3 4 3" xfId="284"/>
    <cellStyle name="Percent 2 3 5" xfId="281"/>
    <cellStyle name="Percent 2 4" xfId="142"/>
    <cellStyle name="Percent 2 4 2" xfId="206"/>
    <cellStyle name="Percent 2 4 2 2" xfId="336"/>
    <cellStyle name="Percent 2 4 3" xfId="285"/>
    <cellStyle name="Percent 2 5" xfId="143"/>
    <cellStyle name="Percent 2 5 2" xfId="207"/>
    <cellStyle name="Percent 2 5 2 2" xfId="337"/>
    <cellStyle name="Percent 2 5 3" xfId="286"/>
    <cellStyle name="Percent 2 6" xfId="144"/>
    <cellStyle name="Percent 2 6 2" xfId="208"/>
    <cellStyle name="Percent 2 6 2 2" xfId="338"/>
    <cellStyle name="Percent 2 6 3" xfId="287"/>
    <cellStyle name="Percent 2 7" xfId="156"/>
    <cellStyle name="Percent 2 8" xfId="515"/>
    <cellStyle name="Percent 3" xfId="145"/>
    <cellStyle name="Percent 3 2" xfId="146"/>
    <cellStyle name="Percent 3 2 2" xfId="209"/>
    <cellStyle name="Percent 3 2 2 2" xfId="339"/>
    <cellStyle name="Percent 3 2 3" xfId="289"/>
    <cellStyle name="Percent 3 3" xfId="147"/>
    <cellStyle name="Percent 3 3 2" xfId="210"/>
    <cellStyle name="Percent 3 3 2 2" xfId="340"/>
    <cellStyle name="Percent 3 3 3" xfId="290"/>
    <cellStyle name="Percent 3 4" xfId="148"/>
    <cellStyle name="Percent 3 4 2" xfId="211"/>
    <cellStyle name="Percent 3 4 2 2" xfId="341"/>
    <cellStyle name="Percent 3 4 3" xfId="291"/>
    <cellStyle name="Percent 3 4 3 2" xfId="959"/>
    <cellStyle name="Percent 3 5" xfId="171"/>
    <cellStyle name="Percent 3 5 2" xfId="302"/>
    <cellStyle name="Percent 3 5 2 2" xfId="988"/>
    <cellStyle name="Percent 3 6" xfId="288"/>
    <cellStyle name="Percent 3 6 2" xfId="566"/>
    <cellStyle name="Percent 4" xfId="216"/>
    <cellStyle name="Percent 4 2" xfId="888"/>
    <cellStyle name="Percent 4 3" xfId="889"/>
    <cellStyle name="Percent 4 4" xfId="890"/>
    <cellStyle name="Percent 4 5" xfId="887"/>
    <cellStyle name="Percent 5" xfId="132"/>
    <cellStyle name="Percent 5 2" xfId="276"/>
    <cellStyle name="Percent 6" xfId="244"/>
    <cellStyle name="Percent 6 2" xfId="390"/>
    <cellStyle name="Percent 6 2 2" xfId="891"/>
    <cellStyle name="Percent 6 3" xfId="441"/>
    <cellStyle name="Percent 6 4" xfId="498"/>
    <cellStyle name="Percent 6 5" xfId="537"/>
    <cellStyle name="Percent 7" xfId="469"/>
    <cellStyle name="Percent 7 2" xfId="892"/>
    <cellStyle name="Percent 7 3" xfId="541"/>
    <cellStyle name="Percent 8" xfId="545"/>
    <cellStyle name="Percent 8 2" xfId="893"/>
    <cellStyle name="Percent 9" xfId="894"/>
    <cellStyle name="PSChar" xfId="10"/>
    <cellStyle name="PSChar 2" xfId="172"/>
    <cellStyle name="PSChar 2 2" xfId="303"/>
    <cellStyle name="PSChar 2 3" xfId="895"/>
    <cellStyle name="PSChar 3" xfId="158"/>
    <cellStyle name="PSChar 3 2" xfId="294"/>
    <cellStyle name="PSChar 3 3" xfId="896"/>
    <cellStyle name="PSChar 4" xfId="897"/>
    <cellStyle name="PSChar 5" xfId="898"/>
    <cellStyle name="PSChar 6" xfId="899"/>
    <cellStyle name="PSDate" xfId="11"/>
    <cellStyle name="PSDate 2" xfId="220"/>
    <cellStyle name="PSDate 2 2" xfId="900"/>
    <cellStyle name="PSDate 2 3" xfId="901"/>
    <cellStyle name="PSDate 3" xfId="902"/>
    <cellStyle name="PSDate 3 2" xfId="903"/>
    <cellStyle name="PSDate 4" xfId="904"/>
    <cellStyle name="PSDate 5" xfId="905"/>
    <cellStyle name="PSDate 6" xfId="906"/>
    <cellStyle name="PSDec" xfId="12"/>
    <cellStyle name="PSDec 2" xfId="173"/>
    <cellStyle name="PSDec 2 2" xfId="304"/>
    <cellStyle name="PSDec 2 3" xfId="907"/>
    <cellStyle name="PSDec 3" xfId="221"/>
    <cellStyle name="PSDec 3 2" xfId="908"/>
    <cellStyle name="PSDec 4" xfId="909"/>
    <cellStyle name="PSDec 5" xfId="910"/>
    <cellStyle name="PSDec 6" xfId="911"/>
    <cellStyle name="PSHeading" xfId="13"/>
    <cellStyle name="PSHeading 10" xfId="912"/>
    <cellStyle name="PSHeading 11" xfId="913"/>
    <cellStyle name="PSHeading 2" xfId="174"/>
    <cellStyle name="PSHeading 2 2" xfId="914"/>
    <cellStyle name="PSHeading 2 3" xfId="915"/>
    <cellStyle name="PSHeading 2_108 Summary" xfId="916"/>
    <cellStyle name="PSHeading 3" xfId="917"/>
    <cellStyle name="PSHeading 3 2" xfId="918"/>
    <cellStyle name="PSHeading 3_108 Summary" xfId="919"/>
    <cellStyle name="PSHeading 4" xfId="920"/>
    <cellStyle name="PSHeading 5" xfId="921"/>
    <cellStyle name="PSHeading 6" xfId="922"/>
    <cellStyle name="PSHeading 7" xfId="923"/>
    <cellStyle name="PSHeading 8" xfId="924"/>
    <cellStyle name="PSHeading 9" xfId="925"/>
    <cellStyle name="PSHeading_101 check" xfId="926"/>
    <cellStyle name="PSInt" xfId="14"/>
    <cellStyle name="PSInt 2" xfId="222"/>
    <cellStyle name="PSInt 2 2" xfId="927"/>
    <cellStyle name="PSInt 2 3" xfId="928"/>
    <cellStyle name="PSInt 3" xfId="929"/>
    <cellStyle name="PSInt 3 2" xfId="930"/>
    <cellStyle name="PSInt 4" xfId="931"/>
    <cellStyle name="PSInt 5" xfId="932"/>
    <cellStyle name="PSInt 6" xfId="933"/>
    <cellStyle name="PSSpacer" xfId="15"/>
    <cellStyle name="PSSpacer 2" xfId="223"/>
    <cellStyle name="PSSpacer 2 2" xfId="934"/>
    <cellStyle name="PSSpacer 2 3" xfId="935"/>
    <cellStyle name="PSSpacer 3" xfId="936"/>
    <cellStyle name="PSSpacer 3 2" xfId="937"/>
    <cellStyle name="PSSpacer 4" xfId="938"/>
    <cellStyle name="PSSpacer 5" xfId="939"/>
    <cellStyle name="PSSpacer 6" xfId="940"/>
    <cellStyle name="Title" xfId="17" builtinId="15" customBuiltin="1"/>
    <cellStyle name="Title 2" xfId="149"/>
    <cellStyle name="Title 2 2" xfId="941"/>
    <cellStyle name="Title 3" xfId="942"/>
    <cellStyle name="Title 4" xfId="943"/>
    <cellStyle name="Title 5" xfId="944"/>
    <cellStyle name="Total" xfId="32" builtinId="25" customBuiltin="1"/>
    <cellStyle name="Total 2" xfId="150"/>
    <cellStyle name="Total 2 2" xfId="945"/>
    <cellStyle name="Total 3" xfId="946"/>
    <cellStyle name="Total 4" xfId="947"/>
    <cellStyle name="Total 5" xfId="948"/>
    <cellStyle name="Total 6" xfId="949"/>
    <cellStyle name="Total 7" xfId="950"/>
    <cellStyle name="Total 8" xfId="951"/>
    <cellStyle name="Warning Text" xfId="30" builtinId="11" customBuiltin="1"/>
    <cellStyle name="Warning Text 2" xfId="151"/>
    <cellStyle name="Warning Text 3" xfId="952"/>
    <cellStyle name="Warning Text 4" xfId="953"/>
    <cellStyle name="Warning Text 5" xfId="954"/>
    <cellStyle name="Warning Text 6" xfId="95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9" Type="http://schemas.openxmlformats.org/officeDocument/2006/relationships/theme" Target="theme/theme1.xml" />
  <Relationship Id="rId40" Type="http://schemas.openxmlformats.org/officeDocument/2006/relationships/styles" Target="styles.xml" />
  <Relationship Id="rId41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2" Type="http://schemas.openxmlformats.org/officeDocument/2006/relationships/worksheet" Target="worksheets/sheet12.xml" />
  <Relationship Id="rId13" Type="http://schemas.openxmlformats.org/officeDocument/2006/relationships/worksheet" Target="worksheets/sheet13.xml" />
  <Relationship Id="rId14" Type="http://schemas.openxmlformats.org/officeDocument/2006/relationships/worksheet" Target="worksheets/sheet14.xml" />
  <Relationship Id="rId15" Type="http://schemas.openxmlformats.org/officeDocument/2006/relationships/worksheet" Target="worksheets/sheet15.xml" />
  <Relationship Id="rId16" Type="http://schemas.openxmlformats.org/officeDocument/2006/relationships/worksheet" Target="worksheets/sheet16.xml" />
  <Relationship Id="rId17" Type="http://schemas.openxmlformats.org/officeDocument/2006/relationships/worksheet" Target="worksheets/sheet17.xml" />
  <Relationship Id="rId18" Type="http://schemas.openxmlformats.org/officeDocument/2006/relationships/worksheet" Target="worksheets/sheet18.xml" />
  <Relationship Id="rId19" Type="http://schemas.openxmlformats.org/officeDocument/2006/relationships/worksheet" Target="worksheets/sheet19.xml" />
  <Relationship Id="rId2" Type="http://schemas.openxmlformats.org/officeDocument/2006/relationships/worksheet" Target="worksheets/sheet2.xml" />
  <Relationship Id="rId20" Type="http://schemas.openxmlformats.org/officeDocument/2006/relationships/worksheet" Target="worksheets/sheet20.xml" />
  <Relationship Id="rId21" Type="http://schemas.openxmlformats.org/officeDocument/2006/relationships/worksheet" Target="worksheets/sheet21.xml" />
  <Relationship Id="rId22" Type="http://schemas.openxmlformats.org/officeDocument/2006/relationships/worksheet" Target="worksheets/sheet22.xml" />
  <Relationship Id="rId23" Type="http://schemas.openxmlformats.org/officeDocument/2006/relationships/worksheet" Target="worksheets/sheet23.xml" />
  <Relationship Id="rId24" Type="http://schemas.openxmlformats.org/officeDocument/2006/relationships/worksheet" Target="worksheets/sheet24.xml" />
  <Relationship Id="rId25" Type="http://schemas.openxmlformats.org/officeDocument/2006/relationships/worksheet" Target="worksheets/sheet25.xml" />
  <Relationship Id="rId26" Type="http://schemas.openxmlformats.org/officeDocument/2006/relationships/worksheet" Target="worksheets/sheet26.xml" />
  <Relationship Id="rId27" Type="http://schemas.openxmlformats.org/officeDocument/2006/relationships/worksheet" Target="worksheets/sheet27.xml" />
  <Relationship Id="rId28" Type="http://schemas.openxmlformats.org/officeDocument/2006/relationships/worksheet" Target="worksheets/sheet28.xml" />
  <Relationship Id="rId29" Type="http://schemas.openxmlformats.org/officeDocument/2006/relationships/worksheet" Target="worksheets/sheet29.xml" />
  <Relationship Id="rId3" Type="http://schemas.openxmlformats.org/officeDocument/2006/relationships/worksheet" Target="worksheets/sheet3.xml" />
  <Relationship Id="rId30" Type="http://schemas.openxmlformats.org/officeDocument/2006/relationships/worksheet" Target="worksheets/sheet30.xml" />
  <Relationship Id="rId31" Type="http://schemas.openxmlformats.org/officeDocument/2006/relationships/worksheet" Target="worksheets/sheet31.xml" />
  <Relationship Id="rId32" Type="http://schemas.openxmlformats.org/officeDocument/2006/relationships/worksheet" Target="worksheets/sheet32.xml" />
  <Relationship Id="rId33" Type="http://schemas.openxmlformats.org/officeDocument/2006/relationships/worksheet" Target="worksheets/sheet33.xml" />
  <Relationship Id="rId34" Type="http://schemas.openxmlformats.org/officeDocument/2006/relationships/worksheet" Target="worksheets/sheet34.xml" />
  <Relationship Id="rId35" Type="http://schemas.openxmlformats.org/officeDocument/2006/relationships/worksheet" Target="worksheets/sheet35.xml" />
  <Relationship Id="rId36" Type="http://schemas.openxmlformats.org/officeDocument/2006/relationships/worksheet" Target="worksheets/sheet36.xml" />
  <Relationship Id="rId37" Type="http://schemas.openxmlformats.org/officeDocument/2006/relationships/worksheet" Target="worksheets/sheet37.xml" />
  <Relationship Id="rId38" Type="http://schemas.openxmlformats.org/officeDocument/2006/relationships/worksheet" Target="worksheets/sheet38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42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0.bin" />
</Relationships>
</file>

<file path=xl/worksheets/_rels/sheet3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3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2.bin" />
</Relationships>
</file>

<file path=xl/worksheets/_rels/sheet3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3.bin" />
</Relationships>
</file>

<file path=xl/worksheets/_rels/sheet3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4.bin" />
</Relationships>
</file>

<file path=xl/worksheets/_rels/sheet3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5.bin" />
</Relationships>
</file>

<file path=xl/worksheets/_rels/sheet3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6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9"/>
  <sheetViews>
    <sheetView workbookViewId="0">
      <selection activeCell="C43" sqref="C43"/>
    </sheetView>
  </sheetViews>
  <sheetFormatPr defaultColWidth="9.1796875" defaultRowHeight="15.5"/>
  <cols>
    <col min="1" max="1" width="11.453125" style="96" bestFit="1" customWidth="1"/>
    <col min="2" max="2" width="10.81640625" style="96" bestFit="1" customWidth="1"/>
    <col min="3" max="4" width="14.453125" style="96" bestFit="1" customWidth="1"/>
    <col min="5" max="5" width="13.26953125" style="96" bestFit="1" customWidth="1"/>
    <col min="6" max="6" width="14.453125" style="96" bestFit="1" customWidth="1"/>
    <col min="7" max="7" width="13.26953125" style="96" bestFit="1" customWidth="1"/>
    <col min="8" max="8" width="11" style="96" bestFit="1" customWidth="1"/>
    <col min="9" max="9" width="2.1796875" style="96" bestFit="1" customWidth="1"/>
    <col min="10" max="10" width="9.453125" style="96" bestFit="1" customWidth="1"/>
    <col min="11" max="11" width="9.1796875" style="96"/>
    <col min="12" max="12" width="9.7265625" style="96" bestFit="1" customWidth="1"/>
    <col min="13" max="16384" width="9.1796875" style="96"/>
  </cols>
  <sheetData>
    <row r="1" spans="1:10">
      <c r="J1" s="144" t="s">
        <v>242</v>
      </c>
    </row>
    <row r="4" spans="1:10">
      <c r="C4" s="125"/>
      <c r="D4" s="125" t="s">
        <v>223</v>
      </c>
      <c r="E4" s="125" t="s">
        <v>223</v>
      </c>
      <c r="F4" s="125" t="s">
        <v>223</v>
      </c>
      <c r="G4" s="125" t="s">
        <v>243</v>
      </c>
      <c r="H4" s="125"/>
      <c r="I4" s="125"/>
      <c r="J4" s="125"/>
    </row>
    <row r="5" spans="1:10">
      <c r="B5" s="126" t="s">
        <v>195</v>
      </c>
      <c r="C5" s="125" t="s">
        <v>4</v>
      </c>
      <c r="D5" s="125" t="s">
        <v>238</v>
      </c>
      <c r="E5" s="125" t="s">
        <v>172</v>
      </c>
      <c r="F5" s="125" t="s">
        <v>14</v>
      </c>
      <c r="G5" s="125" t="s">
        <v>223</v>
      </c>
      <c r="H5" s="125" t="s">
        <v>223</v>
      </c>
      <c r="I5" s="125"/>
      <c r="J5" s="125" t="s">
        <v>97</v>
      </c>
    </row>
    <row r="6" spans="1:10">
      <c r="A6" s="127" t="s">
        <v>80</v>
      </c>
      <c r="B6" s="128" t="s">
        <v>196</v>
      </c>
      <c r="C6" s="127" t="s">
        <v>7</v>
      </c>
      <c r="D6" s="127" t="s">
        <v>7</v>
      </c>
      <c r="E6" s="127" t="s">
        <v>7</v>
      </c>
      <c r="F6" s="127" t="s">
        <v>7</v>
      </c>
      <c r="G6" s="127" t="s">
        <v>212</v>
      </c>
      <c r="H6" s="127" t="s">
        <v>244</v>
      </c>
      <c r="I6" s="127"/>
      <c r="J6" s="127" t="s">
        <v>212</v>
      </c>
    </row>
    <row r="7" spans="1:10">
      <c r="A7" s="127"/>
      <c r="B7" s="124"/>
    </row>
    <row r="8" spans="1:10">
      <c r="A8" s="96" t="s">
        <v>197</v>
      </c>
      <c r="B8" s="131">
        <f>SUM(SUMMARY!P11:P15)</f>
        <v>136519</v>
      </c>
      <c r="C8" s="129">
        <f>SUM(SUMMARY!C11:C15)</f>
        <v>215744787.07454881</v>
      </c>
      <c r="D8" s="129">
        <f>'Settle Exhibit 1'!D8</f>
        <v>235830985.51910883</v>
      </c>
      <c r="E8" s="129">
        <f>F8-D8</f>
        <v>0</v>
      </c>
      <c r="F8" s="129">
        <f>SUM(SUMMARY!D11:D15)</f>
        <v>235830985.51910883</v>
      </c>
      <c r="G8" s="129">
        <f>F8-C8</f>
        <v>20086198.444560021</v>
      </c>
      <c r="H8" s="130">
        <v>4.2500000000000003E-2</v>
      </c>
      <c r="I8" s="130"/>
      <c r="J8" s="130">
        <f>IF(C8&gt;0,G8/C8,0)</f>
        <v>9.3101662927407847E-2</v>
      </c>
    </row>
    <row r="9" spans="1:10" ht="4.5" customHeight="1">
      <c r="B9" s="131"/>
      <c r="J9" s="130"/>
    </row>
    <row r="10" spans="1:10">
      <c r="A10" s="96" t="s">
        <v>199</v>
      </c>
      <c r="B10" s="131">
        <f>SUM(SUMMARY!P19:P25)</f>
        <v>23887</v>
      </c>
      <c r="C10" s="129">
        <f>SUM(SUMMARY!C19:C25)</f>
        <v>18679797.781678338</v>
      </c>
      <c r="D10" s="129">
        <f>'Settle Exhibit 1'!D10</f>
        <v>19665714.667808339</v>
      </c>
      <c r="E10" s="129">
        <f>F10-D10</f>
        <v>0</v>
      </c>
      <c r="F10" s="129">
        <f>SUM(SUMMARY!D19:D25)</f>
        <v>19665714.667808339</v>
      </c>
      <c r="G10" s="129">
        <f>F10-C10</f>
        <v>985916.8861300014</v>
      </c>
      <c r="H10" s="130">
        <v>0.1331</v>
      </c>
      <c r="I10" s="130"/>
      <c r="J10" s="130">
        <f>IF(C10&gt;0,G10/C10,0)</f>
        <v>5.2779847921962837E-2</v>
      </c>
    </row>
    <row r="11" spans="1:10" ht="4.5" customHeight="1">
      <c r="B11" s="131"/>
      <c r="J11" s="130"/>
    </row>
    <row r="12" spans="1:10">
      <c r="A12" s="96" t="s">
        <v>142</v>
      </c>
      <c r="B12" s="131">
        <f>SUM(SUMMARY!P27:P37)</f>
        <v>6793</v>
      </c>
      <c r="C12" s="129">
        <f>SUM(SUMMARY!C27:C37)</f>
        <v>53627370.164961316</v>
      </c>
      <c r="D12" s="129">
        <f>'Settle Exhibit 1'!D12</f>
        <v>57041315.987911314</v>
      </c>
      <c r="E12" s="129">
        <f>F12-D12</f>
        <v>0</v>
      </c>
      <c r="F12" s="129">
        <f>SUM(SUMMARY!D27:D37)</f>
        <v>57041315.987911314</v>
      </c>
      <c r="G12" s="129">
        <f>F12-C12</f>
        <v>3413945.8229499981</v>
      </c>
      <c r="H12" s="130">
        <v>0.14149999999999999</v>
      </c>
      <c r="I12" s="130"/>
      <c r="J12" s="130">
        <f>IF(C12&gt;0,G12/C12,0)</f>
        <v>6.3660511646356638E-2</v>
      </c>
    </row>
    <row r="13" spans="1:10" ht="4.5" customHeight="1">
      <c r="B13" s="131"/>
      <c r="J13" s="130"/>
    </row>
    <row r="14" spans="1:10">
      <c r="A14" s="96" t="s">
        <v>234</v>
      </c>
      <c r="B14" s="131">
        <f>SUM(SUMMARY!P39:P41)</f>
        <v>162</v>
      </c>
      <c r="C14" s="129">
        <f>SUM(SUMMARY!C39:C41)</f>
        <v>11504478.012953892</v>
      </c>
      <c r="D14" s="129">
        <f>'Settle Exhibit 1'!D14</f>
        <v>12295506.951773891</v>
      </c>
      <c r="E14" s="129">
        <f>F14-D14</f>
        <v>0</v>
      </c>
      <c r="F14" s="129">
        <f>SUM(SUMMARY!D39:D41)</f>
        <v>12295506.951773891</v>
      </c>
      <c r="G14" s="129">
        <f>F14-C14</f>
        <v>791028.93881999888</v>
      </c>
      <c r="H14" s="318">
        <v>0.10639999999999999</v>
      </c>
      <c r="I14" s="319" t="s">
        <v>248</v>
      </c>
      <c r="J14" s="130">
        <f>IF(C14&gt;0,G14/C14,0)</f>
        <v>6.8758351133298756E-2</v>
      </c>
    </row>
    <row r="15" spans="1:10" ht="4.5" customHeight="1">
      <c r="B15" s="131"/>
      <c r="H15" s="318"/>
      <c r="I15" s="319"/>
      <c r="J15" s="130"/>
    </row>
    <row r="16" spans="1:10">
      <c r="A16" s="96" t="s">
        <v>143</v>
      </c>
      <c r="B16" s="131">
        <f>SUM(SUMMARY!P43:P53)</f>
        <v>668</v>
      </c>
      <c r="C16" s="129">
        <f>SUM(SUMMARY!C43:C53)</f>
        <v>51375193.333825424</v>
      </c>
      <c r="D16" s="129">
        <f>'Settle Exhibit 1'!D16</f>
        <v>54111359.681975409</v>
      </c>
      <c r="E16" s="129">
        <f>F16-D16</f>
        <v>0</v>
      </c>
      <c r="F16" s="129">
        <f>SUM(SUMMARY!D43:D53)</f>
        <v>54111359.681975409</v>
      </c>
      <c r="G16" s="129">
        <f>F16-C16</f>
        <v>2736166.3481499851</v>
      </c>
      <c r="H16" s="318"/>
      <c r="I16" s="319"/>
      <c r="J16" s="130">
        <f>IF(C16&gt;0,G16/C16,0)</f>
        <v>5.3258511950912565E-2</v>
      </c>
    </row>
    <row r="17" spans="1:10" ht="4.5" customHeight="1">
      <c r="B17" s="131"/>
      <c r="J17" s="130"/>
    </row>
    <row r="18" spans="1:10">
      <c r="A18" s="96" t="s">
        <v>200</v>
      </c>
      <c r="B18" s="131">
        <f>SUM(SUMMARY!P55:P61)</f>
        <v>68</v>
      </c>
      <c r="C18" s="129">
        <f>SUM(SUMMARY!C55:C61)</f>
        <v>138769642.37893879</v>
      </c>
      <c r="D18" s="129" t="e">
        <f>'Settle Exhibit 1'!D18</f>
        <v>#REF!</v>
      </c>
      <c r="E18" s="129" t="e">
        <f>F18-D18</f>
        <v>#REF!</v>
      </c>
      <c r="F18" s="129">
        <f>SUM(SUMMARY!D55:D61)</f>
        <v>142304352.33302677</v>
      </c>
      <c r="G18" s="129">
        <f>F18-C18</f>
        <v>3534709.9540879726</v>
      </c>
      <c r="H18" s="130">
        <v>7.6999999999999999E-2</v>
      </c>
      <c r="I18" s="130"/>
      <c r="J18" s="130">
        <f>IF(C18&gt;0,G18/C18,0)</f>
        <v>2.5471781100622329E-2</v>
      </c>
    </row>
    <row r="19" spans="1:10" ht="4.5" customHeight="1">
      <c r="B19" s="131"/>
      <c r="J19" s="130"/>
    </row>
    <row r="20" spans="1:10">
      <c r="A20" s="96" t="s">
        <v>198</v>
      </c>
      <c r="B20" s="131"/>
      <c r="C20" s="129">
        <f>SUMMARY!C17</f>
        <v>8231794.7983330507</v>
      </c>
      <c r="D20" s="129">
        <f>'Settle Exhibit 1'!D20</f>
        <v>8433544.1983330492</v>
      </c>
      <c r="E20" s="129">
        <f>F20-D20</f>
        <v>0</v>
      </c>
      <c r="F20" s="129">
        <f>SUMMARY!D17</f>
        <v>8433544.1983330492</v>
      </c>
      <c r="G20" s="129">
        <f>F20-C20</f>
        <v>201749.39999999851</v>
      </c>
      <c r="H20" s="130">
        <v>0.10440000000000001</v>
      </c>
      <c r="I20" s="130"/>
      <c r="J20" s="130">
        <f>IF(C20&gt;0,G20/C20,0)</f>
        <v>2.450855553892731E-2</v>
      </c>
    </row>
    <row r="21" spans="1:10" ht="4.5" customHeight="1">
      <c r="B21" s="131"/>
      <c r="J21" s="130"/>
    </row>
    <row r="22" spans="1:10">
      <c r="A22" s="96" t="s">
        <v>144</v>
      </c>
      <c r="B22" s="131">
        <f>SUMMARY!P63</f>
        <v>0</v>
      </c>
      <c r="C22" s="129">
        <f>SUMMARY!C63</f>
        <v>1407107.8340438304</v>
      </c>
      <c r="D22" s="129">
        <f>'Settle Exhibit 1'!D22</f>
        <v>1443867.9940438303</v>
      </c>
      <c r="E22" s="129">
        <f>F22-D22</f>
        <v>0</v>
      </c>
      <c r="F22" s="129">
        <f>SUMMARY!D63</f>
        <v>1443867.9940438303</v>
      </c>
      <c r="G22" s="129">
        <f>F22-C22</f>
        <v>36760.159999999916</v>
      </c>
      <c r="H22" s="130">
        <v>0.15570000000000001</v>
      </c>
      <c r="I22" s="130"/>
      <c r="J22" s="130">
        <f>IF(C22&gt;0,G22/C22,0)</f>
        <v>2.612462180269182E-2</v>
      </c>
    </row>
    <row r="23" spans="1:10" ht="4.5" customHeight="1">
      <c r="B23" s="131"/>
      <c r="J23" s="130"/>
    </row>
    <row r="24" spans="1:10">
      <c r="A24" s="132" t="s">
        <v>153</v>
      </c>
      <c r="B24" s="135">
        <f>SUMMARY!P65</f>
        <v>10</v>
      </c>
      <c r="C24" s="133">
        <f>SUMMARY!C65</f>
        <v>194342.4664362481</v>
      </c>
      <c r="D24" s="133">
        <f>'Settle Exhibit 1'!D24</f>
        <v>199303.0546362481</v>
      </c>
      <c r="E24" s="133">
        <f>F24-D24</f>
        <v>0</v>
      </c>
      <c r="F24" s="133">
        <f>SUMMARY!D65</f>
        <v>199303.0546362481</v>
      </c>
      <c r="G24" s="133">
        <f>F24-C24</f>
        <v>4960.5881999999983</v>
      </c>
      <c r="H24" s="134">
        <v>0.12989999999999999</v>
      </c>
      <c r="I24" s="134"/>
      <c r="J24" s="134">
        <f>IF(C24&gt;0,G24/C24,0)</f>
        <v>2.5524983247175493E-2</v>
      </c>
    </row>
    <row r="25" spans="1:10" ht="4.5" customHeight="1"/>
    <row r="26" spans="1:10">
      <c r="A26" s="96" t="s">
        <v>14</v>
      </c>
      <c r="B26" s="136">
        <f t="shared" ref="B26:G26" si="0">SUM(B8:B24)</f>
        <v>168107</v>
      </c>
      <c r="C26" s="129">
        <f t="shared" si="0"/>
        <v>499534513.8457197</v>
      </c>
      <c r="D26" s="129" t="e">
        <f t="shared" si="0"/>
        <v>#REF!</v>
      </c>
      <c r="E26" s="129" t="e">
        <f t="shared" si="0"/>
        <v>#REF!</v>
      </c>
      <c r="F26" s="129">
        <f t="shared" si="0"/>
        <v>531325950.38861769</v>
      </c>
      <c r="G26" s="129">
        <f t="shared" si="0"/>
        <v>31791436.542897977</v>
      </c>
      <c r="H26" s="130">
        <v>6.9599999999999995E-2</v>
      </c>
      <c r="I26" s="130"/>
      <c r="J26" s="130">
        <f>IF(C26&gt;0,G26/C26,0)</f>
        <v>6.3642122139165549E-2</v>
      </c>
    </row>
    <row r="27" spans="1:10">
      <c r="J27"/>
    </row>
    <row r="28" spans="1:10">
      <c r="A28" s="96" t="s">
        <v>249</v>
      </c>
    </row>
    <row r="29" spans="1:10">
      <c r="A29" s="96" t="s">
        <v>250</v>
      </c>
    </row>
  </sheetData>
  <mergeCells count="2">
    <mergeCell ref="H14:H16"/>
    <mergeCell ref="I14:I16"/>
  </mergeCells>
  <printOptions horizontalCentered="1"/>
  <pageMargins left="0.5" right="0.5" top="0.5" bottom="0.5" header="0.3" footer="0.3"/>
  <pageSetup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58"/>
  <sheetViews>
    <sheetView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B8" sqref="B8"/>
    </sheetView>
  </sheetViews>
  <sheetFormatPr defaultRowHeight="12.5"/>
  <cols>
    <col min="1" max="1" width="14.81640625" bestFit="1" customWidth="1"/>
    <col min="2" max="2" width="12.7265625" bestFit="1" customWidth="1"/>
    <col min="3" max="3" width="11.7265625" bestFit="1" customWidth="1"/>
    <col min="4" max="4" width="12.7265625" bestFit="1" customWidth="1"/>
    <col min="5" max="5" width="12.26953125" bestFit="1" customWidth="1"/>
    <col min="6" max="6" width="12.7265625" bestFit="1" customWidth="1"/>
    <col min="7" max="7" width="13.453125" bestFit="1" customWidth="1"/>
    <col min="9" max="9" width="2.7265625" customWidth="1"/>
    <col min="10" max="10" width="13.26953125" customWidth="1"/>
    <col min="11" max="12" width="11.7265625" bestFit="1" customWidth="1"/>
    <col min="13" max="13" width="12.54296875" bestFit="1" customWidth="1"/>
    <col min="14" max="14" width="13.54296875" bestFit="1" customWidth="1"/>
    <col min="15" max="15" width="4.26953125" bestFit="1" customWidth="1"/>
    <col min="16" max="16" width="12.7265625" bestFit="1" customWidth="1"/>
    <col min="17" max="17" width="13.26953125" customWidth="1"/>
    <col min="18" max="18" width="12.7265625" bestFit="1" customWidth="1"/>
  </cols>
  <sheetData>
    <row r="1" spans="1:19" ht="18.649999999999999" customHeight="1">
      <c r="A1" s="23" t="str">
        <f>+RS!A1</f>
        <v>KENTUCKY POWER BILLING ANALYSIS</v>
      </c>
    </row>
    <row r="2" spans="1:19" ht="18.649999999999999" customHeight="1" thickBot="1">
      <c r="A2" s="23" t="str">
        <f>+RS!A3</f>
        <v>TEST YEAR ENDED FEBRUARY 28, 2017</v>
      </c>
    </row>
    <row r="3" spans="1:19" ht="18.649999999999999" customHeight="1" thickBot="1">
      <c r="A3" s="23" t="s">
        <v>181</v>
      </c>
      <c r="F3" s="335" t="s">
        <v>301</v>
      </c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7"/>
    </row>
    <row r="4" spans="1:19" s="48" customFormat="1" ht="50">
      <c r="B4" s="49" t="s">
        <v>173</v>
      </c>
      <c r="C4" s="232" t="s">
        <v>300</v>
      </c>
      <c r="D4" s="49" t="s">
        <v>175</v>
      </c>
      <c r="F4" s="49" t="s">
        <v>176</v>
      </c>
      <c r="G4" s="49" t="s">
        <v>177</v>
      </c>
      <c r="H4" s="49" t="s">
        <v>178</v>
      </c>
      <c r="J4" s="49" t="s">
        <v>302</v>
      </c>
      <c r="K4" s="49" t="s">
        <v>216</v>
      </c>
      <c r="L4" s="49" t="s">
        <v>18</v>
      </c>
      <c r="M4" s="232" t="s">
        <v>300</v>
      </c>
      <c r="N4" s="49" t="s">
        <v>179</v>
      </c>
      <c r="P4" s="49" t="s">
        <v>190</v>
      </c>
      <c r="Q4" s="49" t="s">
        <v>194</v>
      </c>
      <c r="R4" s="49" t="s">
        <v>193</v>
      </c>
    </row>
    <row r="5" spans="1:19">
      <c r="A5" s="26" t="s">
        <v>140</v>
      </c>
      <c r="B5" s="7">
        <f>SUM(RS!D13:D25)</f>
        <v>200525298.69638491</v>
      </c>
      <c r="C5" s="7">
        <f>+RS!D27</f>
        <v>199311</v>
      </c>
      <c r="D5" s="7">
        <f>+B5+C5</f>
        <v>200724609.69638491</v>
      </c>
      <c r="F5" s="7">
        <f>SUM(RS!G13:G25)</f>
        <v>235471979.98163491</v>
      </c>
      <c r="G5" s="7">
        <f>+F5-B5</f>
        <v>34946681.285250008</v>
      </c>
      <c r="H5" s="51">
        <f t="shared" ref="H5:H7" si="0">+F5/B5-1</f>
        <v>0.17427567250834874</v>
      </c>
      <c r="J5" s="7">
        <f>+RS!G40</f>
        <v>163741.6</v>
      </c>
      <c r="K5" s="7">
        <f>+RS!G32</f>
        <v>0</v>
      </c>
      <c r="L5" s="7">
        <f>+RS!G30</f>
        <v>0</v>
      </c>
      <c r="M5" s="7">
        <f>+RS!G34</f>
        <v>0</v>
      </c>
      <c r="N5" s="7">
        <f>SUM(F5,J5:M5)</f>
        <v>235635721.58163491</v>
      </c>
      <c r="P5" s="7">
        <f>F5+J5+L5</f>
        <v>235635721.58163491</v>
      </c>
      <c r="R5" s="7"/>
    </row>
    <row r="6" spans="1:19">
      <c r="A6" s="45" t="s">
        <v>146</v>
      </c>
      <c r="B6" s="7">
        <f>SUM(RSLMTOD!D13:D27)</f>
        <v>298169.51513452333</v>
      </c>
      <c r="C6" s="7">
        <f>+RSLMTOD!D29</f>
        <v>305</v>
      </c>
      <c r="D6" s="7">
        <f>+B6+C6</f>
        <v>298474.51513452333</v>
      </c>
      <c r="F6" s="7">
        <f>+SUM(RSLMTOD!G13:G27)</f>
        <v>350562.85336452327</v>
      </c>
      <c r="G6" s="7">
        <f t="shared" ref="G6:G7" si="1">+F6-B6</f>
        <v>52393.338229999936</v>
      </c>
      <c r="H6" s="51">
        <f t="shared" si="0"/>
        <v>0.17571661612140987</v>
      </c>
      <c r="J6" s="7">
        <f>+RSLMTOD!G42</f>
        <v>180.5</v>
      </c>
      <c r="K6" s="7">
        <f>+RSLMTOD!G34</f>
        <v>0</v>
      </c>
      <c r="L6" s="7">
        <f>+RSLMTOD!G32</f>
        <v>0</v>
      </c>
      <c r="M6" s="7">
        <f>+RSLMTOD!G36</f>
        <v>0</v>
      </c>
      <c r="N6" s="7">
        <f>SUM(F6,J6:M6)</f>
        <v>350743.35336452327</v>
      </c>
      <c r="P6" s="7">
        <f t="shared" ref="P6:P50" si="2">F6+J6+L6</f>
        <v>350743.35336452327</v>
      </c>
      <c r="R6" s="7"/>
    </row>
    <row r="7" spans="1:19">
      <c r="A7" s="45" t="s">
        <v>145</v>
      </c>
      <c r="B7" s="50">
        <f>+SUM(RSTOD!D13:D24)</f>
        <v>7142.8630293900615</v>
      </c>
      <c r="C7" s="50">
        <f>+RSTOD!D26</f>
        <v>7</v>
      </c>
      <c r="D7" s="50">
        <f>+B7+C7</f>
        <v>7149.8630293900615</v>
      </c>
      <c r="E7" s="50"/>
      <c r="F7" s="50">
        <f>SUM(RSTOD!G13:G24)</f>
        <v>8442.6841093900603</v>
      </c>
      <c r="G7" s="50">
        <f t="shared" si="1"/>
        <v>1299.8210799999988</v>
      </c>
      <c r="H7" s="81">
        <f t="shared" si="0"/>
        <v>0.18197480123190779</v>
      </c>
      <c r="J7" s="50">
        <f>+RSTOD!G39</f>
        <v>6</v>
      </c>
      <c r="K7" s="50">
        <f>+RSTOD!G31</f>
        <v>0</v>
      </c>
      <c r="L7" s="50">
        <f>+RSTOD!G29</f>
        <v>0</v>
      </c>
      <c r="M7" s="50">
        <f>+RSTOD!G33</f>
        <v>0</v>
      </c>
      <c r="N7" s="50">
        <f>SUM(F7,J7:M7)</f>
        <v>8448.6841093900603</v>
      </c>
      <c r="P7" s="50">
        <f t="shared" si="2"/>
        <v>8448.6841093900603</v>
      </c>
      <c r="R7" s="82"/>
    </row>
    <row r="8" spans="1:19">
      <c r="A8" s="26" t="s">
        <v>141</v>
      </c>
      <c r="B8" s="7">
        <f>SUM(B5:B7)</f>
        <v>200830611.07454881</v>
      </c>
      <c r="C8" s="7">
        <f t="shared" ref="C8:D8" si="3">SUM(C5:C7)</f>
        <v>199623</v>
      </c>
      <c r="D8" s="7">
        <f t="shared" si="3"/>
        <v>201030234.07454881</v>
      </c>
      <c r="E8" s="7">
        <f>F8-D8</f>
        <v>34800751.444560021</v>
      </c>
      <c r="F8" s="7">
        <f>SUM(F5:F7)</f>
        <v>235830985.51910883</v>
      </c>
      <c r="G8" s="7">
        <f>+F8-B8</f>
        <v>35000374.444560021</v>
      </c>
      <c r="H8" s="51">
        <f>+F8/B8-1</f>
        <v>0.17427808568270398</v>
      </c>
      <c r="J8" s="7">
        <f>SUM(J5:J7)</f>
        <v>163928.1</v>
      </c>
      <c r="K8" s="7">
        <f t="shared" ref="K8:P8" si="4">SUM(K5:K7)</f>
        <v>0</v>
      </c>
      <c r="L8" s="7">
        <f t="shared" si="4"/>
        <v>0</v>
      </c>
      <c r="M8" s="7">
        <f t="shared" si="4"/>
        <v>0</v>
      </c>
      <c r="N8" s="7">
        <f t="shared" si="4"/>
        <v>235994913.61910883</v>
      </c>
      <c r="O8" s="7"/>
      <c r="P8" s="7">
        <f t="shared" si="4"/>
        <v>235994913.61910883</v>
      </c>
      <c r="R8" s="82"/>
    </row>
    <row r="9" spans="1:19">
      <c r="A9" s="26"/>
      <c r="F9" s="7"/>
      <c r="G9" s="7"/>
      <c r="H9" s="51"/>
      <c r="J9" s="7"/>
      <c r="K9" s="7"/>
      <c r="L9" s="7"/>
      <c r="M9" s="7"/>
      <c r="N9" s="7"/>
      <c r="P9" s="7"/>
      <c r="Q9" s="7"/>
      <c r="R9" s="7"/>
    </row>
    <row r="10" spans="1:19">
      <c r="A10" s="26" t="s">
        <v>83</v>
      </c>
      <c r="B10" s="7">
        <f>+SUM(OL!D14:D58)</f>
        <v>7978405.7983330507</v>
      </c>
      <c r="C10" s="7">
        <f>+OL!D60</f>
        <v>7138</v>
      </c>
      <c r="D10" s="7">
        <f>+B10+C10</f>
        <v>7985543.7983330507</v>
      </c>
      <c r="E10" s="7">
        <f>F10-D10</f>
        <v>448000.39999999851</v>
      </c>
      <c r="F10" s="7">
        <f>SUM(OL!G14:G58)</f>
        <v>8433544.1983330492</v>
      </c>
      <c r="G10" s="7">
        <f>+F10-B10</f>
        <v>455138.39999999851</v>
      </c>
      <c r="H10" s="51">
        <f>+F10/B10-1</f>
        <v>5.7046283619102356E-2</v>
      </c>
      <c r="J10" s="7">
        <v>0</v>
      </c>
      <c r="K10" s="7">
        <f>+OL!G64</f>
        <v>0</v>
      </c>
      <c r="L10" s="7">
        <f>+OL!G62</f>
        <v>0</v>
      </c>
      <c r="M10" s="7">
        <f>+OL!G66</f>
        <v>0</v>
      </c>
      <c r="N10" s="7">
        <f>SUM(F10,J10:M10)</f>
        <v>8433544.1983330492</v>
      </c>
      <c r="O10" s="7"/>
      <c r="P10" s="7">
        <f t="shared" si="2"/>
        <v>8433544.1983330492</v>
      </c>
      <c r="Q10" s="7">
        <f>OL!G74+OL!G58</f>
        <v>1241767.7883330483</v>
      </c>
      <c r="R10" s="7">
        <f t="shared" ref="R10:R15" si="5">P10-Q10</f>
        <v>7191776.4100000011</v>
      </c>
      <c r="S10" s="7"/>
    </row>
    <row r="11" spans="1:19">
      <c r="A11" s="26"/>
      <c r="F11" s="7"/>
      <c r="G11" s="7"/>
      <c r="H11" s="51"/>
      <c r="J11" s="7"/>
      <c r="K11" s="7"/>
      <c r="L11" s="7"/>
      <c r="M11" s="7"/>
      <c r="N11" s="7"/>
      <c r="O11" s="7"/>
      <c r="P11" s="7"/>
      <c r="R11" s="7"/>
    </row>
    <row r="12" spans="1:19">
      <c r="A12" s="45" t="s">
        <v>147</v>
      </c>
      <c r="B12" s="7">
        <f>SUM(SGS!D13:D24)</f>
        <v>16853893.706367053</v>
      </c>
      <c r="C12" s="7">
        <f>+SGS!D26</f>
        <v>15682</v>
      </c>
      <c r="D12" s="7">
        <f t="shared" ref="D12:D15" si="6">+B12+C12</f>
        <v>16869575.706367053</v>
      </c>
      <c r="E12" s="7"/>
      <c r="F12" s="7">
        <f>SUM(SGS!G13:G24)</f>
        <v>18889354.845707051</v>
      </c>
      <c r="G12" s="7">
        <f>+F12-B12</f>
        <v>2035461.1393399984</v>
      </c>
      <c r="H12" s="51">
        <f>+F12/B12-1</f>
        <v>0.12077097285661909</v>
      </c>
      <c r="J12" s="7">
        <f>+SGS!G34</f>
        <v>271005</v>
      </c>
      <c r="K12" s="7">
        <f>+SGS!G30</f>
        <v>0</v>
      </c>
      <c r="L12" s="7">
        <f>+SGS!G28</f>
        <v>0</v>
      </c>
      <c r="M12" s="7" t="e">
        <f>+SGS!#REF!</f>
        <v>#REF!</v>
      </c>
      <c r="N12" s="7" t="e">
        <f>SUM(F12,J12:M12)</f>
        <v>#REF!</v>
      </c>
      <c r="O12" s="7"/>
      <c r="P12" s="7">
        <f t="shared" si="2"/>
        <v>19160359.845707051</v>
      </c>
      <c r="Q12" s="7">
        <f>SGS!G40+SGS!G24</f>
        <v>3680933.5260670534</v>
      </c>
      <c r="R12" s="7">
        <f t="shared" si="5"/>
        <v>15479426.319639998</v>
      </c>
    </row>
    <row r="13" spans="1:19">
      <c r="A13" s="45" t="s">
        <v>148</v>
      </c>
      <c r="B13" s="7">
        <f>SUM(SGSLMTOD!D13:D22)</f>
        <v>33505.858260619876</v>
      </c>
      <c r="C13" s="7">
        <f>+SGSLMTOD!D24</f>
        <v>31</v>
      </c>
      <c r="D13" s="7">
        <f t="shared" si="6"/>
        <v>33536.858260619876</v>
      </c>
      <c r="E13" s="7"/>
      <c r="F13" s="7">
        <f>SUM(SGSLMTOD!G13:G22)</f>
        <v>40083.866210619875</v>
      </c>
      <c r="G13" s="7">
        <f t="shared" ref="G13:G15" si="7">+F13-B13</f>
        <v>6578.0079499999993</v>
      </c>
      <c r="H13" s="51">
        <f t="shared" ref="H13:H15" si="8">+F13/B13-1</f>
        <v>0.19632411439319153</v>
      </c>
      <c r="J13" s="7" t="e">
        <f>+SGSLMTOD!#REF!</f>
        <v>#REF!</v>
      </c>
      <c r="K13" s="7">
        <f>+SGSLMTOD!G28</f>
        <v>0</v>
      </c>
      <c r="L13" s="7">
        <f>+SGSLMTOD!G26</f>
        <v>0</v>
      </c>
      <c r="M13" s="7" t="e">
        <f>+SGSLMTOD!#REF!</f>
        <v>#REF!</v>
      </c>
      <c r="N13" s="7" t="e">
        <f>SUM(F13,J13:M13)</f>
        <v>#REF!</v>
      </c>
      <c r="O13" s="7"/>
      <c r="P13" s="7" t="e">
        <f t="shared" si="2"/>
        <v>#REF!</v>
      </c>
      <c r="Q13" s="7">
        <f>SGSLMTOD!G37+SGSLMTOD!G22</f>
        <v>41316.075429672601</v>
      </c>
      <c r="R13" s="7" t="e">
        <f t="shared" si="5"/>
        <v>#REF!</v>
      </c>
    </row>
    <row r="14" spans="1:19">
      <c r="A14" s="45" t="s">
        <v>149</v>
      </c>
      <c r="B14" s="7">
        <f>SUM(SGSTOD!D13:D23)</f>
        <v>106704.12116682253</v>
      </c>
      <c r="C14" s="7">
        <f>+SGSTOD!D25</f>
        <v>94</v>
      </c>
      <c r="D14" s="7">
        <f t="shared" si="6"/>
        <v>106798.12116682253</v>
      </c>
      <c r="E14" s="7"/>
      <c r="F14" s="7">
        <f>SUM(SGSTOD!G13:G23)</f>
        <v>125531.10360682252</v>
      </c>
      <c r="G14" s="7">
        <f t="shared" si="7"/>
        <v>18826.982439999992</v>
      </c>
      <c r="H14" s="51">
        <f t="shared" si="8"/>
        <v>0.1764410055968284</v>
      </c>
      <c r="J14" s="7" t="e">
        <f>+SGSTOD!#REF!</f>
        <v>#REF!</v>
      </c>
      <c r="K14" s="7">
        <f>+SGSTOD!G29</f>
        <v>0</v>
      </c>
      <c r="L14" s="7">
        <f>+SGSTOD!G27</f>
        <v>0</v>
      </c>
      <c r="M14" s="7" t="e">
        <f>+SGSTOD!#REF!</f>
        <v>#REF!</v>
      </c>
      <c r="N14" s="7" t="e">
        <f t="shared" ref="N14:N15" si="9">SUM(F14,J14:M14)</f>
        <v>#REF!</v>
      </c>
      <c r="O14" s="7"/>
      <c r="P14" s="7" t="e">
        <f t="shared" si="2"/>
        <v>#REF!</v>
      </c>
      <c r="Q14" s="7">
        <f>SGSTOD!G32+SGSTOD!G23</f>
        <v>1136.7456168225372</v>
      </c>
      <c r="R14" s="7" t="e">
        <f t="shared" si="5"/>
        <v>#REF!</v>
      </c>
    </row>
    <row r="15" spans="1:19">
      <c r="A15" s="45" t="s">
        <v>150</v>
      </c>
      <c r="B15" s="50">
        <f>SUM('SGS-NM'!D13:D24)</f>
        <v>614144.47588384233</v>
      </c>
      <c r="C15" s="50">
        <f>+'SGS-NM'!D26</f>
        <v>581</v>
      </c>
      <c r="D15" s="50">
        <f t="shared" si="6"/>
        <v>614725.47588384233</v>
      </c>
      <c r="E15" s="50"/>
      <c r="F15" s="50">
        <f>SUM('SGS-NM'!G13:G24)</f>
        <v>610744.85228384228</v>
      </c>
      <c r="G15" s="50">
        <f t="shared" si="7"/>
        <v>-3399.6236000000499</v>
      </c>
      <c r="H15" s="81">
        <f t="shared" si="8"/>
        <v>-5.5355437254523965E-3</v>
      </c>
      <c r="J15" s="50" t="e">
        <f>+'SGS-NM'!#REF!</f>
        <v>#REF!</v>
      </c>
      <c r="K15" s="50">
        <f>+'SGS-NM'!G30</f>
        <v>0</v>
      </c>
      <c r="L15" s="50">
        <f>+'SGS-NM'!G28</f>
        <v>0</v>
      </c>
      <c r="M15" s="50" t="e">
        <f>+'SGS-NM'!#REF!</f>
        <v>#REF!</v>
      </c>
      <c r="N15" s="50" t="e">
        <f t="shared" si="9"/>
        <v>#REF!</v>
      </c>
      <c r="O15" s="7"/>
      <c r="P15" s="50" t="e">
        <f t="shared" si="2"/>
        <v>#REF!</v>
      </c>
      <c r="Q15" s="50" t="e">
        <f>'SGS-NM'!#REF!+'SGS-NM'!G24</f>
        <v>#REF!</v>
      </c>
      <c r="R15" s="50" t="e">
        <f t="shared" si="5"/>
        <v>#REF!</v>
      </c>
    </row>
    <row r="16" spans="1:19">
      <c r="A16" s="45" t="s">
        <v>151</v>
      </c>
      <c r="B16" s="7">
        <f>SUM(B12:B15)</f>
        <v>17608248.161678337</v>
      </c>
      <c r="C16" s="7">
        <f>SUM(C12:C15)</f>
        <v>16388</v>
      </c>
      <c r="D16" s="7">
        <f>+B16+C16</f>
        <v>17624636.161678337</v>
      </c>
      <c r="E16" s="7">
        <f>F16-D16</f>
        <v>2041078.5061300024</v>
      </c>
      <c r="F16" s="7">
        <f>SUM(F12:F15)</f>
        <v>19665714.667808339</v>
      </c>
      <c r="G16" s="7">
        <f>SUM(G12:G15)</f>
        <v>2057466.5061299982</v>
      </c>
      <c r="H16" s="51">
        <f>+F16/B16-1</f>
        <v>0.11684674632242875</v>
      </c>
      <c r="J16" s="7" t="e">
        <f>SUM(J12:J15)</f>
        <v>#REF!</v>
      </c>
      <c r="K16" s="7">
        <f t="shared" ref="K16:P16" si="10">SUM(K12:K15)</f>
        <v>0</v>
      </c>
      <c r="L16" s="7">
        <f t="shared" si="10"/>
        <v>0</v>
      </c>
      <c r="M16" s="7" t="e">
        <f t="shared" si="10"/>
        <v>#REF!</v>
      </c>
      <c r="N16" s="7" t="e">
        <f t="shared" si="10"/>
        <v>#REF!</v>
      </c>
      <c r="O16" s="7"/>
      <c r="P16" s="7" t="e">
        <f t="shared" si="10"/>
        <v>#REF!</v>
      </c>
      <c r="Q16" s="7" t="e">
        <f t="shared" ref="Q16" si="11">SUM(Q12:Q15)</f>
        <v>#REF!</v>
      </c>
      <c r="R16" s="7" t="e">
        <f t="shared" ref="R16" si="12">SUM(R12:R15)</f>
        <v>#REF!</v>
      </c>
    </row>
    <row r="17" spans="1:18 16384:16384">
      <c r="A17" s="45"/>
      <c r="F17" s="7"/>
      <c r="G17" s="7"/>
      <c r="H17" s="51"/>
      <c r="J17" s="7"/>
      <c r="K17" s="7"/>
      <c r="L17" s="7"/>
      <c r="M17" s="7"/>
      <c r="N17" s="7"/>
      <c r="O17" s="7"/>
      <c r="P17" s="7"/>
      <c r="Q17" s="7"/>
      <c r="R17" s="7"/>
    </row>
    <row r="18" spans="1:18 16384:16384">
      <c r="A18" s="45" t="s">
        <v>155</v>
      </c>
      <c r="B18" s="7">
        <f>SUM('MGS AF'!D12:D20)</f>
        <v>146578.42438695015</v>
      </c>
      <c r="C18" s="7">
        <f>+'MGS AF'!D22</f>
        <v>138</v>
      </c>
      <c r="D18" s="7">
        <f t="shared" ref="D18:D48" si="13">+B18+C18</f>
        <v>146716.42438695015</v>
      </c>
      <c r="E18" s="7"/>
      <c r="F18" s="7">
        <f>SUM('MGS AF'!G12:G20)</f>
        <v>169536.60950695016</v>
      </c>
      <c r="G18" s="7">
        <f t="shared" ref="G18:G23" si="14">+F18-B18</f>
        <v>22958.185120000009</v>
      </c>
      <c r="H18" s="51">
        <f t="shared" ref="H18:H23" si="15">+F18/B18-1</f>
        <v>0.15662731548671216</v>
      </c>
      <c r="J18" s="7">
        <f>+'MGS AF'!G33</f>
        <v>986</v>
      </c>
      <c r="K18" s="7">
        <f>+'MGS AF'!G26</f>
        <v>0</v>
      </c>
      <c r="L18" s="7">
        <f>+'MGS AF'!G24</f>
        <v>0</v>
      </c>
      <c r="M18" s="7">
        <f>+'MGS AF'!G28</f>
        <v>0</v>
      </c>
      <c r="N18" s="7">
        <f t="shared" ref="N18:N23" si="16">SUM(F18,J18:M18)</f>
        <v>170522.60950695016</v>
      </c>
      <c r="O18" s="7"/>
      <c r="P18" s="7">
        <f t="shared" si="2"/>
        <v>170522.60950695016</v>
      </c>
      <c r="Q18" s="7">
        <f>'MGS AF'!G39+'MGS AF'!G20</f>
        <v>39580.381106950146</v>
      </c>
      <c r="R18" s="7">
        <f t="shared" ref="R18:R23" si="17">P18-Q18</f>
        <v>130942.22840000002</v>
      </c>
    </row>
    <row r="19" spans="1:18 16384:16384">
      <c r="A19" s="45" t="s">
        <v>156</v>
      </c>
      <c r="B19" s="7">
        <f>SUM('MGS-SEC'!D13:D32)</f>
        <v>48113846.709910281</v>
      </c>
      <c r="C19" s="7">
        <f>+'MGS-SEC'!D34</f>
        <v>44180</v>
      </c>
      <c r="D19" s="7">
        <f t="shared" si="13"/>
        <v>48158026.709910281</v>
      </c>
      <c r="E19" s="7"/>
      <c r="F19" s="7">
        <f>SUM('MGS-SEC'!G13:G32)</f>
        <v>54627745.011790283</v>
      </c>
      <c r="G19" s="7">
        <f t="shared" si="14"/>
        <v>6513898.301880002</v>
      </c>
      <c r="H19" s="51">
        <f t="shared" si="15"/>
        <v>0.13538510735077636</v>
      </c>
      <c r="J19" s="7" t="e">
        <f>+'MGS-SEC'!#REF!</f>
        <v>#REF!</v>
      </c>
      <c r="K19" s="7">
        <f>+'MGS-SEC'!G40</f>
        <v>0</v>
      </c>
      <c r="L19" s="7">
        <f>+'MGS-SEC'!G36+'MGS-SEC'!G38</f>
        <v>0</v>
      </c>
      <c r="M19" s="7" t="e">
        <f>+'MGS-SEC'!#REF!</f>
        <v>#REF!</v>
      </c>
      <c r="N19" s="7" t="e">
        <f t="shared" si="16"/>
        <v>#REF!</v>
      </c>
      <c r="O19" s="7"/>
      <c r="P19" s="7" t="e">
        <f t="shared" si="2"/>
        <v>#REF!</v>
      </c>
      <c r="Q19" s="7">
        <f>'MGS-SEC'!G50+'MGS-SEC'!G32</f>
        <v>12648590.038110282</v>
      </c>
      <c r="R19" s="7" t="e">
        <f t="shared" si="17"/>
        <v>#REF!</v>
      </c>
    </row>
    <row r="20" spans="1:18 16384:16384">
      <c r="A20" s="45" t="s">
        <v>157</v>
      </c>
      <c r="B20" s="7">
        <f>SUM(MGSLMTOD!D13:D22)</f>
        <v>79471.809014125509</v>
      </c>
      <c r="C20" s="7">
        <f>+MGSLMTOD!D24</f>
        <v>84</v>
      </c>
      <c r="D20" s="7">
        <f t="shared" si="13"/>
        <v>79555.809014125509</v>
      </c>
      <c r="E20" s="7"/>
      <c r="F20" s="7">
        <f>SUM(MGSLMTOD!G13:G22)</f>
        <v>96133.540604125505</v>
      </c>
      <c r="G20" s="7">
        <f t="shared" si="14"/>
        <v>16661.731589999996</v>
      </c>
      <c r="H20" s="51">
        <f t="shared" si="15"/>
        <v>0.2096558741608423</v>
      </c>
      <c r="J20" s="7" t="e">
        <f>+MGSLMTOD!#REF!</f>
        <v>#REF!</v>
      </c>
      <c r="K20" s="7">
        <f>+MGSLMTOD!G28</f>
        <v>0</v>
      </c>
      <c r="L20" s="7">
        <f>+MGSLMTOD!G26</f>
        <v>0</v>
      </c>
      <c r="M20" s="7" t="e">
        <f>+MGSLMTOD!#REF!</f>
        <v>#REF!</v>
      </c>
      <c r="N20" s="7" t="e">
        <f t="shared" si="16"/>
        <v>#REF!</v>
      </c>
      <c r="O20" s="7"/>
      <c r="P20" s="7" t="e">
        <f t="shared" si="2"/>
        <v>#REF!</v>
      </c>
      <c r="Q20" s="7">
        <f>MGSLMTOD!G39+MGSLMTOD!G22</f>
        <v>23456.835674125505</v>
      </c>
      <c r="R20" s="7" t="e">
        <f t="shared" si="17"/>
        <v>#REF!</v>
      </c>
    </row>
    <row r="21" spans="1:18 16384:16384">
      <c r="A21" s="45" t="s">
        <v>158</v>
      </c>
      <c r="B21" s="7">
        <f>SUM(MGSTOD!D13:D22)</f>
        <v>353535.33307494898</v>
      </c>
      <c r="C21" s="7">
        <f>+MGSTOD!D24</f>
        <v>326</v>
      </c>
      <c r="D21" s="7">
        <f t="shared" si="13"/>
        <v>353861.33307494898</v>
      </c>
      <c r="E21" s="7"/>
      <c r="F21" s="7">
        <f>SUM(MGSTOD!G13:G22)</f>
        <v>398112.027594949</v>
      </c>
      <c r="G21" s="7">
        <f t="shared" si="14"/>
        <v>44576.694520000019</v>
      </c>
      <c r="H21" s="51">
        <f t="shared" si="15"/>
        <v>0.12608837179663124</v>
      </c>
      <c r="J21" s="7" t="e">
        <f>+MGSTOD!#REF!</f>
        <v>#REF!</v>
      </c>
      <c r="K21" s="7">
        <f>+MGSTOD!G28</f>
        <v>0</v>
      </c>
      <c r="L21" s="7">
        <f>+MGSTOD!G26</f>
        <v>0</v>
      </c>
      <c r="M21" s="7" t="e">
        <f>+MGSTOD!#REF!</f>
        <v>#REF!</v>
      </c>
      <c r="N21" s="7" t="e">
        <f t="shared" si="16"/>
        <v>#REF!</v>
      </c>
      <c r="O21" s="7"/>
      <c r="P21" s="7" t="e">
        <f t="shared" si="2"/>
        <v>#REF!</v>
      </c>
      <c r="Q21" s="7">
        <f>MGSTOD!G38+MGSTOD!G22</f>
        <v>103437.96285494897</v>
      </c>
      <c r="R21" s="7" t="e">
        <f t="shared" si="17"/>
        <v>#REF!</v>
      </c>
    </row>
    <row r="22" spans="1:18 16384:16384">
      <c r="A22" s="45" t="s">
        <v>159</v>
      </c>
      <c r="B22" s="7">
        <f>SUM('MGS-PRI'!D13:D33)</f>
        <v>1472270.7393301956</v>
      </c>
      <c r="C22" s="7">
        <f>+'MGS-PRI'!D35</f>
        <v>1162</v>
      </c>
      <c r="D22" s="7">
        <f t="shared" si="13"/>
        <v>1473432.7393301956</v>
      </c>
      <c r="E22" s="7"/>
      <c r="F22" s="7">
        <f>SUM('MGS-PRI'!G13:G33)</f>
        <v>1604999.8427101956</v>
      </c>
      <c r="G22" s="7">
        <f t="shared" si="14"/>
        <v>132729.10337999999</v>
      </c>
      <c r="H22" s="51">
        <f t="shared" si="15"/>
        <v>9.0152646408217407E-2</v>
      </c>
      <c r="J22" s="7" t="e">
        <f>+'MGS-PRI'!#REF!</f>
        <v>#REF!</v>
      </c>
      <c r="K22" s="7">
        <f>+'MGS-PRI'!G41</f>
        <v>0</v>
      </c>
      <c r="L22" s="7">
        <f>+'MGS-PRI'!G37+'MGS-PRI'!G39</f>
        <v>0</v>
      </c>
      <c r="M22" s="7" t="e">
        <f>+'MGS-PRI'!#REF!</f>
        <v>#REF!</v>
      </c>
      <c r="N22" s="7" t="e">
        <f t="shared" si="16"/>
        <v>#REF!</v>
      </c>
      <c r="O22" s="7"/>
      <c r="P22" s="7" t="e">
        <f t="shared" si="2"/>
        <v>#REF!</v>
      </c>
      <c r="Q22" s="7">
        <f>'MGS-PRI'!G51+'MGS-PRI'!G33</f>
        <v>423309.90960019542</v>
      </c>
      <c r="R22" s="7" t="e">
        <f t="shared" si="17"/>
        <v>#REF!</v>
      </c>
    </row>
    <row r="23" spans="1:18 16384:16384">
      <c r="A23" s="45" t="s">
        <v>160</v>
      </c>
      <c r="B23" s="50">
        <f>+SUM('MGS-SUB'!D13:D33)</f>
        <v>151141.1492448184</v>
      </c>
      <c r="C23" s="50">
        <f>+'MGS-SUB'!D35</f>
        <v>140</v>
      </c>
      <c r="D23" s="50">
        <f t="shared" si="13"/>
        <v>151281.1492448184</v>
      </c>
      <c r="E23" s="50"/>
      <c r="F23" s="50">
        <f>SUM('MGS-SUB'!G13:G33)</f>
        <v>144788.95570481842</v>
      </c>
      <c r="G23" s="50">
        <f t="shared" si="14"/>
        <v>-6352.1935399999784</v>
      </c>
      <c r="H23" s="81">
        <f t="shared" si="15"/>
        <v>-4.2028220453125598E-2</v>
      </c>
      <c r="J23" s="50" t="e">
        <f>+'MGS-SUB'!#REF!</f>
        <v>#REF!</v>
      </c>
      <c r="K23" s="50">
        <f>+'MGS-SUB'!G41</f>
        <v>0</v>
      </c>
      <c r="L23" s="50">
        <f>+'MGS-SUB'!G37+'MGS-SUB'!G39</f>
        <v>0</v>
      </c>
      <c r="M23" s="50" t="e">
        <f>+'MGS-SUB'!#REF!</f>
        <v>#REF!</v>
      </c>
      <c r="N23" s="50" t="e">
        <f t="shared" si="16"/>
        <v>#REF!</v>
      </c>
      <c r="O23" s="7"/>
      <c r="P23" s="50" t="e">
        <f t="shared" si="2"/>
        <v>#REF!</v>
      </c>
      <c r="Q23" s="50">
        <f>'MGS-SUB'!G51+'MGS-SUB'!G33</f>
        <v>39501.249654818406</v>
      </c>
      <c r="R23" s="50" t="e">
        <f t="shared" si="17"/>
        <v>#REF!</v>
      </c>
    </row>
    <row r="24" spans="1:18 16384:16384">
      <c r="A24" s="45" t="s">
        <v>142</v>
      </c>
      <c r="B24" s="7">
        <f>SUM(B18:B23)</f>
        <v>50316844.164961316</v>
      </c>
      <c r="C24" s="7">
        <f>SUM(C18:C23)</f>
        <v>46030</v>
      </c>
      <c r="D24" s="7">
        <f t="shared" si="13"/>
        <v>50362874.164961316</v>
      </c>
      <c r="E24" s="7">
        <f>F24-D24</f>
        <v>6678441.8229499981</v>
      </c>
      <c r="F24" s="7">
        <f>SUM(F18:F23)</f>
        <v>57041315.987911314</v>
      </c>
      <c r="G24" s="7">
        <f>+F24-B24</f>
        <v>6724471.8229499981</v>
      </c>
      <c r="H24" s="51">
        <f>+F24/B24-1</f>
        <v>0.13364255915780698</v>
      </c>
      <c r="J24" s="7" t="e">
        <f>SUM(J18:J23)</f>
        <v>#REF!</v>
      </c>
      <c r="K24" s="7">
        <f>SUM(K18:K23)</f>
        <v>0</v>
      </c>
      <c r="L24" s="7">
        <f>SUM(L18:L23)</f>
        <v>0</v>
      </c>
      <c r="M24" s="7" t="e">
        <f>SUM(M18:M23)</f>
        <v>#REF!</v>
      </c>
      <c r="N24" s="7" t="e">
        <f>SUM(N18:N23)</f>
        <v>#REF!</v>
      </c>
      <c r="O24" s="7"/>
      <c r="P24" s="7" t="e">
        <f>SUM(P18:P23)</f>
        <v>#REF!</v>
      </c>
      <c r="Q24" s="7">
        <f>SUM(Q18:Q23)</f>
        <v>13277876.377001321</v>
      </c>
      <c r="R24" s="7" t="e">
        <f>SUM(R18:R23)</f>
        <v>#REF!</v>
      </c>
      <c r="XFD24" s="7"/>
    </row>
    <row r="25" spans="1:18 16384:16384">
      <c r="A25" s="45"/>
      <c r="F25" s="7"/>
      <c r="G25" s="7"/>
      <c r="H25" s="51"/>
      <c r="J25" s="7"/>
      <c r="K25" s="7"/>
      <c r="L25" s="7"/>
      <c r="M25" s="7"/>
      <c r="N25" s="7"/>
      <c r="O25" s="7"/>
      <c r="P25" s="7"/>
      <c r="Q25" s="7"/>
      <c r="R25" s="7"/>
    </row>
    <row r="26" spans="1:18 16384:16384">
      <c r="A26" s="142" t="s">
        <v>229</v>
      </c>
      <c r="B26" s="54">
        <f>SUM('School Sec'!D12:D24)</f>
        <v>10615778.943401173</v>
      </c>
      <c r="C26" s="7">
        <f>'School Sec'!D26</f>
        <v>9968</v>
      </c>
      <c r="D26" s="7">
        <f t="shared" si="13"/>
        <v>10625746.943401173</v>
      </c>
      <c r="E26" s="7"/>
      <c r="F26" s="7">
        <f>SUM('School Sec'!G12:G24)</f>
        <v>12120187.994741172</v>
      </c>
      <c r="G26" s="7">
        <f t="shared" ref="G26:G27" si="18">+F26-B26</f>
        <v>1504409.0513399988</v>
      </c>
      <c r="H26" s="51">
        <f t="shared" ref="H26:H27" si="19">+F26/B26-1</f>
        <v>0.14171442899865094</v>
      </c>
      <c r="J26" s="7" t="e">
        <f>'School Sec'!#REF!</f>
        <v>#REF!</v>
      </c>
      <c r="K26" s="7">
        <f>'School Sec'!G32</f>
        <v>0</v>
      </c>
      <c r="L26" s="7">
        <f>'School Sec'!G28+'School Sec'!G30</f>
        <v>0</v>
      </c>
      <c r="M26" s="7" t="e">
        <f>'School Sec'!#REF!</f>
        <v>#REF!</v>
      </c>
      <c r="N26" s="7" t="e">
        <f t="shared" ref="N26:N27" si="20">SUM(F26,J26:M26)</f>
        <v>#REF!</v>
      </c>
      <c r="O26" s="7"/>
      <c r="P26" s="7" t="e">
        <f t="shared" ref="P26:P27" si="21">F26+J26+L26</f>
        <v>#REF!</v>
      </c>
      <c r="Q26" s="7">
        <f>'School Sec'!G42+'School Sec'!G24</f>
        <v>3165034.8266811729</v>
      </c>
      <c r="R26" s="7" t="e">
        <f t="shared" ref="R26:R27" si="22">P26-Q26</f>
        <v>#REF!</v>
      </c>
    </row>
    <row r="27" spans="1:18 16384:16384">
      <c r="A27" s="142" t="s">
        <v>230</v>
      </c>
      <c r="B27" s="50">
        <f>SUM('School Pri'!D12:D24)</f>
        <v>153696.06955272023</v>
      </c>
      <c r="C27" s="50">
        <f>'School Pri'!D26</f>
        <v>156</v>
      </c>
      <c r="D27" s="50">
        <f t="shared" si="13"/>
        <v>153852.06955272023</v>
      </c>
      <c r="E27" s="50"/>
      <c r="F27" s="50">
        <f>SUM('School Pri'!G12:G24)</f>
        <v>175318.95703272024</v>
      </c>
      <c r="G27" s="50">
        <f t="shared" si="18"/>
        <v>21622.887480000005</v>
      </c>
      <c r="H27" s="81">
        <f t="shared" si="19"/>
        <v>0.14068601456709984</v>
      </c>
      <c r="J27" s="50" t="e">
        <f>'School Pri'!#REF!</f>
        <v>#REF!</v>
      </c>
      <c r="K27" s="50">
        <f>'School Pri'!G32</f>
        <v>0</v>
      </c>
      <c r="L27" s="50">
        <f>'School Pri'!G28+'School Pri'!G30</f>
        <v>0</v>
      </c>
      <c r="M27" s="50" t="e">
        <f>'School Pri'!#REF!</f>
        <v>#REF!</v>
      </c>
      <c r="N27" s="50" t="e">
        <f t="shared" si="20"/>
        <v>#REF!</v>
      </c>
      <c r="O27" s="7"/>
      <c r="P27" s="50" t="e">
        <f t="shared" si="21"/>
        <v>#REF!</v>
      </c>
      <c r="Q27" s="50">
        <f>'School Pri'!G42+'School Pri'!G24</f>
        <v>53529.326152720256</v>
      </c>
      <c r="R27" s="50" t="e">
        <f t="shared" si="22"/>
        <v>#REF!</v>
      </c>
    </row>
    <row r="28" spans="1:18 16384:16384">
      <c r="A28" s="142" t="s">
        <v>231</v>
      </c>
      <c r="B28" s="7">
        <f>SUM(B26:B27)</f>
        <v>10769475.012953892</v>
      </c>
      <c r="C28" s="7">
        <f>SUM(C26:C27)</f>
        <v>10124</v>
      </c>
      <c r="D28" s="7">
        <f t="shared" ref="D28" si="23">+B28+C28</f>
        <v>10779599.012953892</v>
      </c>
      <c r="E28" s="7">
        <f>F28-D28</f>
        <v>1515907.9388199989</v>
      </c>
      <c r="F28" s="7">
        <f>SUM(F26:F27)</f>
        <v>12295506.951773891</v>
      </c>
      <c r="G28" s="7">
        <f>+F28-B28</f>
        <v>1526031.9388199989</v>
      </c>
      <c r="H28" s="51">
        <f>+F28/B28-1</f>
        <v>0.14169975202917828</v>
      </c>
      <c r="J28" s="7" t="e">
        <f>SUM(J26:J27)</f>
        <v>#REF!</v>
      </c>
      <c r="K28" s="7">
        <f t="shared" ref="K28:N28" si="24">SUM(K26:K27)</f>
        <v>0</v>
      </c>
      <c r="L28" s="7">
        <f t="shared" si="24"/>
        <v>0</v>
      </c>
      <c r="M28" s="7" t="e">
        <f t="shared" si="24"/>
        <v>#REF!</v>
      </c>
      <c r="N28" s="7" t="e">
        <f t="shared" si="24"/>
        <v>#REF!</v>
      </c>
      <c r="O28" s="7"/>
      <c r="P28" s="7" t="e">
        <f t="shared" ref="P28:R28" si="25">SUM(P26:P27)</f>
        <v>#REF!</v>
      </c>
      <c r="Q28" s="7">
        <f t="shared" si="25"/>
        <v>3218564.152833893</v>
      </c>
      <c r="R28" s="7" t="e">
        <f t="shared" si="25"/>
        <v>#REF!</v>
      </c>
    </row>
    <row r="29" spans="1:18 16384:16384">
      <c r="A29" s="45"/>
      <c r="F29" s="7"/>
      <c r="G29" s="7"/>
      <c r="H29" s="51"/>
      <c r="J29" s="7"/>
      <c r="K29" s="7"/>
      <c r="L29" s="7"/>
      <c r="M29" s="7"/>
      <c r="N29" s="7"/>
      <c r="O29" s="7"/>
      <c r="P29" s="7"/>
      <c r="Q29" s="7"/>
      <c r="R29" s="7"/>
    </row>
    <row r="30" spans="1:18 16384:16384">
      <c r="A30" s="45" t="s">
        <v>161</v>
      </c>
      <c r="B30" s="7">
        <f>SUM('LGS-SEC'!D12:D24)</f>
        <v>38306120.837633289</v>
      </c>
      <c r="C30" s="7">
        <f>+'LGS-SEC'!D26</f>
        <v>35418</v>
      </c>
      <c r="D30" s="7">
        <f t="shared" si="13"/>
        <v>38341538.837633289</v>
      </c>
      <c r="E30" s="7"/>
      <c r="F30" s="7">
        <f>SUM('LGS-SEC'!G12:G24)</f>
        <v>42559836.73547329</v>
      </c>
      <c r="G30" s="7">
        <f t="shared" ref="G30:G35" si="26">+F30-B30</f>
        <v>4253715.8978400007</v>
      </c>
      <c r="H30" s="51">
        <f t="shared" ref="H30:H35" si="27">+F30/B30-1</f>
        <v>0.11104533178574938</v>
      </c>
      <c r="J30" s="7" t="e">
        <f>+'LGS-SEC'!#REF!</f>
        <v>#REF!</v>
      </c>
      <c r="K30" s="7">
        <f>+'LGS-SEC'!G32</f>
        <v>0</v>
      </c>
      <c r="L30" s="7">
        <f>+'LGS-SEC'!G28+'LGS-SEC'!G30</f>
        <v>0</v>
      </c>
      <c r="M30" s="7" t="e">
        <f>+'LGS-SEC'!#REF!</f>
        <v>#REF!</v>
      </c>
      <c r="N30" s="7" t="e">
        <f t="shared" ref="N30:N35" si="28">SUM(F30,J30:M30)</f>
        <v>#REF!</v>
      </c>
      <c r="O30" s="7"/>
      <c r="P30" s="7" t="e">
        <f t="shared" si="2"/>
        <v>#REF!</v>
      </c>
      <c r="Q30" s="7">
        <f>'LGS-SEC'!G42+'LGS-SEC'!G24</f>
        <v>11541810.092803296</v>
      </c>
      <c r="R30" s="7" t="e">
        <f t="shared" ref="R30:R35" si="29">P30-Q30</f>
        <v>#REF!</v>
      </c>
    </row>
    <row r="31" spans="1:18 16384:16384">
      <c r="A31" s="142" t="s">
        <v>273</v>
      </c>
      <c r="B31" s="7">
        <f>SUM(LGSSECTOD!D13:D26)</f>
        <v>264148.79319873173</v>
      </c>
      <c r="C31" s="7"/>
      <c r="D31" s="7">
        <f t="shared" si="13"/>
        <v>264148.79319873173</v>
      </c>
      <c r="E31" s="7"/>
      <c r="F31" s="7">
        <f>SUM(LGSSECTOD!G13:G26)</f>
        <v>297985.60533873178</v>
      </c>
      <c r="G31" s="7">
        <f t="shared" si="26"/>
        <v>33836.812140000053</v>
      </c>
      <c r="H31" s="51">
        <f t="shared" si="27"/>
        <v>0.12809754581972665</v>
      </c>
      <c r="J31" s="7"/>
      <c r="K31" s="7"/>
      <c r="L31" s="7"/>
      <c r="M31" s="7"/>
      <c r="N31" s="7"/>
      <c r="O31" s="7"/>
      <c r="P31" s="7"/>
      <c r="Q31" s="7"/>
      <c r="R31" s="7"/>
    </row>
    <row r="32" spans="1:18 16384:16384">
      <c r="A32" s="45" t="s">
        <v>162</v>
      </c>
      <c r="B32" s="7">
        <f>SUM(LGSLMTOD!D13:D22)</f>
        <v>180551.48926420158</v>
      </c>
      <c r="C32" s="7">
        <f>+LGSLMTOD!D24</f>
        <v>171</v>
      </c>
      <c r="D32" s="7">
        <f t="shared" si="13"/>
        <v>180722.48926420158</v>
      </c>
      <c r="E32" s="7"/>
      <c r="F32" s="7">
        <f>SUM(LGSLMTOD!G13:G22)</f>
        <v>204702.36346420157</v>
      </c>
      <c r="G32" s="7">
        <f t="shared" si="26"/>
        <v>24150.874199999991</v>
      </c>
      <c r="H32" s="51">
        <f t="shared" si="27"/>
        <v>0.13376170032394441</v>
      </c>
      <c r="J32" s="7" t="e">
        <f>+LGSLMTOD!#REF!</f>
        <v>#REF!</v>
      </c>
      <c r="K32" s="7">
        <f>+LGSLMTOD!G28</f>
        <v>0</v>
      </c>
      <c r="L32" s="7">
        <f>+LGSLMTOD!G26</f>
        <v>0</v>
      </c>
      <c r="M32" s="7" t="e">
        <f>+LGSLMTOD!#REF!</f>
        <v>#REF!</v>
      </c>
      <c r="N32" s="7" t="e">
        <f t="shared" si="28"/>
        <v>#REF!</v>
      </c>
      <c r="O32" s="7"/>
      <c r="P32" s="7" t="e">
        <f t="shared" si="2"/>
        <v>#REF!</v>
      </c>
      <c r="Q32" s="7">
        <f>LGSLMTOD!G38+LGSLMTOD!G22</f>
        <v>55698.820354201569</v>
      </c>
      <c r="R32" s="7" t="e">
        <f t="shared" si="29"/>
        <v>#REF!</v>
      </c>
    </row>
    <row r="33" spans="1:18">
      <c r="A33" s="45" t="s">
        <v>163</v>
      </c>
      <c r="B33" s="7">
        <f>SUM('LGS-PRI'!D12:D24)</f>
        <v>6948464.1000372907</v>
      </c>
      <c r="C33" s="7">
        <f>+'LGS-PRI'!D26</f>
        <v>6662</v>
      </c>
      <c r="D33" s="7">
        <f t="shared" si="13"/>
        <v>6955126.1000372907</v>
      </c>
      <c r="E33" s="7"/>
      <c r="F33" s="7">
        <f>SUM('LGS-PRI'!G12:G24)</f>
        <v>7945540.6330072908</v>
      </c>
      <c r="G33" s="7">
        <f t="shared" si="26"/>
        <v>997076.53297000006</v>
      </c>
      <c r="H33" s="51">
        <f t="shared" si="27"/>
        <v>0.14349596092245043</v>
      </c>
      <c r="J33" s="7" t="e">
        <f>+'LGS-PRI'!#REF!</f>
        <v>#REF!</v>
      </c>
      <c r="K33" s="7">
        <f>+'LGS-PRI'!G32</f>
        <v>0</v>
      </c>
      <c r="L33" s="7">
        <f>+'LGS-PRI'!G28+'LGS-PRI'!G30</f>
        <v>0</v>
      </c>
      <c r="M33" s="7" t="e">
        <f>+'LGS-PRI'!#REF!</f>
        <v>#REF!</v>
      </c>
      <c r="N33" s="7" t="e">
        <f t="shared" si="28"/>
        <v>#REF!</v>
      </c>
      <c r="O33" s="7"/>
      <c r="P33" s="7" t="e">
        <f t="shared" si="2"/>
        <v>#REF!</v>
      </c>
      <c r="Q33" s="7">
        <f>'LGS-PRI'!G42+'LGS-PRI'!G24</f>
        <v>2250732.1426772908</v>
      </c>
      <c r="R33" s="7" t="e">
        <f t="shared" si="29"/>
        <v>#REF!</v>
      </c>
    </row>
    <row r="34" spans="1:18">
      <c r="A34" s="45" t="s">
        <v>164</v>
      </c>
      <c r="B34" s="7">
        <f>SUM('LGS-SUB'!D12:D24)</f>
        <v>2518597.2755040657</v>
      </c>
      <c r="C34" s="7">
        <f>+'LGS-SUB'!D26</f>
        <v>3093</v>
      </c>
      <c r="D34" s="7">
        <f t="shared" si="13"/>
        <v>2521690.2755040657</v>
      </c>
      <c r="E34" s="7"/>
      <c r="F34" s="7">
        <f>SUM('LGS-SUB'!G12:G24)</f>
        <v>2955320.7959040659</v>
      </c>
      <c r="G34" s="7">
        <f t="shared" si="26"/>
        <v>436723.52040000027</v>
      </c>
      <c r="H34" s="51">
        <f t="shared" si="27"/>
        <v>0.17339950481467725</v>
      </c>
      <c r="J34" s="7" t="e">
        <f>+'LGS-SUB'!#REF!</f>
        <v>#REF!</v>
      </c>
      <c r="K34" s="7">
        <f>+'LGS-SUB'!G32</f>
        <v>0</v>
      </c>
      <c r="L34" s="7">
        <f>+'LGS-SUB'!G28+'LGS-SUB'!G30</f>
        <v>0</v>
      </c>
      <c r="M34" s="7" t="e">
        <f>+'LGS-SUB'!#REF!</f>
        <v>#REF!</v>
      </c>
      <c r="N34" s="7" t="e">
        <f t="shared" si="28"/>
        <v>#REF!</v>
      </c>
      <c r="O34" s="7"/>
      <c r="P34" s="7" t="e">
        <f t="shared" si="2"/>
        <v>#REF!</v>
      </c>
      <c r="Q34" s="7">
        <f>'LGS-SUB'!G42+'LGS-SUB'!G24</f>
        <v>1036716.0979040657</v>
      </c>
      <c r="R34" s="7" t="e">
        <f t="shared" si="29"/>
        <v>#REF!</v>
      </c>
    </row>
    <row r="35" spans="1:18">
      <c r="A35" s="45" t="s">
        <v>165</v>
      </c>
      <c r="B35" s="50">
        <f>SUM('LGS-TRAN'!D12:D24)</f>
        <v>126889.8381878385</v>
      </c>
      <c r="C35" s="50">
        <f>+'LGS-TRAN'!D26</f>
        <v>344</v>
      </c>
      <c r="D35" s="50">
        <f t="shared" si="13"/>
        <v>127233.8381878385</v>
      </c>
      <c r="E35" s="50"/>
      <c r="F35" s="50">
        <f>SUM('LGS-TRAN'!G12:G24)</f>
        <v>147973.54878783852</v>
      </c>
      <c r="G35" s="50">
        <f t="shared" si="26"/>
        <v>21083.71060000002</v>
      </c>
      <c r="H35" s="81">
        <f t="shared" si="27"/>
        <v>0.16615759702356336</v>
      </c>
      <c r="J35" s="50" t="e">
        <f>+'LGS-TRAN'!#REF!</f>
        <v>#REF!</v>
      </c>
      <c r="K35" s="50">
        <f>+'LGS-TRAN'!G32</f>
        <v>0</v>
      </c>
      <c r="L35" s="50">
        <f>+'LGS-TRAN'!G28+'LGS-TRAN'!G30</f>
        <v>0</v>
      </c>
      <c r="M35" s="50" t="e">
        <f>+'LGS-TRAN'!#REF!</f>
        <v>#REF!</v>
      </c>
      <c r="N35" s="50" t="e">
        <f t="shared" si="28"/>
        <v>#REF!</v>
      </c>
      <c r="O35" s="7"/>
      <c r="P35" s="50" t="e">
        <f t="shared" si="2"/>
        <v>#REF!</v>
      </c>
      <c r="Q35" s="50">
        <f>'LGS-TRAN'!G42+'LGS-TRAN'!G24</f>
        <v>48700.663207838508</v>
      </c>
      <c r="R35" s="50" t="e">
        <f t="shared" si="29"/>
        <v>#REF!</v>
      </c>
    </row>
    <row r="36" spans="1:18">
      <c r="A36" s="45" t="s">
        <v>143</v>
      </c>
      <c r="B36" s="7">
        <f>SUM(B30:B35)</f>
        <v>48344772.333825424</v>
      </c>
      <c r="C36" s="7">
        <f>SUM(C30:C35)</f>
        <v>45688</v>
      </c>
      <c r="D36" s="7">
        <f t="shared" si="13"/>
        <v>48390460.333825424</v>
      </c>
      <c r="E36" s="7">
        <f>F36-D36</f>
        <v>5720899.3481499851</v>
      </c>
      <c r="F36" s="7">
        <f>SUM(F30:F35)</f>
        <v>54111359.681975409</v>
      </c>
      <c r="G36" s="7">
        <f>+F36-B36</f>
        <v>5766587.3481499851</v>
      </c>
      <c r="H36" s="51">
        <f>+F36/B36-1</f>
        <v>0.1192804737672799</v>
      </c>
      <c r="J36" s="7" t="e">
        <f>SUM(J30:J35)</f>
        <v>#REF!</v>
      </c>
      <c r="K36" s="7">
        <f t="shared" ref="K36:P36" si="30">SUM(K30:K35)</f>
        <v>0</v>
      </c>
      <c r="L36" s="7">
        <f t="shared" si="30"/>
        <v>0</v>
      </c>
      <c r="M36" s="7" t="e">
        <f t="shared" si="30"/>
        <v>#REF!</v>
      </c>
      <c r="N36" s="7" t="e">
        <f t="shared" si="30"/>
        <v>#REF!</v>
      </c>
      <c r="O36" s="7"/>
      <c r="P36" s="7" t="e">
        <f t="shared" si="30"/>
        <v>#REF!</v>
      </c>
      <c r="Q36" s="7">
        <f t="shared" ref="Q36" si="31">SUM(Q30:Q35)</f>
        <v>14933657.816946691</v>
      </c>
      <c r="R36" s="7" t="e">
        <f t="shared" ref="R36" si="32">SUM(R30:R35)</f>
        <v>#REF!</v>
      </c>
    </row>
    <row r="37" spans="1:18">
      <c r="A37" s="45"/>
      <c r="F37" s="7"/>
      <c r="G37" s="7"/>
      <c r="H37" s="51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45" t="s">
        <v>166</v>
      </c>
      <c r="B38" s="7" t="e">
        <f>+SUM(#REF!)</f>
        <v>#REF!</v>
      </c>
      <c r="C38" s="7" t="e">
        <f>+#REF!</f>
        <v>#REF!</v>
      </c>
      <c r="D38" s="7" t="e">
        <f t="shared" si="13"/>
        <v>#REF!</v>
      </c>
      <c r="E38" s="7"/>
      <c r="F38" s="7" t="e">
        <f>SUM(#REF!)</f>
        <v>#REF!</v>
      </c>
      <c r="G38" s="7" t="e">
        <f t="shared" ref="G38:G41" si="33">+F38-B38</f>
        <v>#REF!</v>
      </c>
      <c r="H38" s="51" t="e">
        <f t="shared" ref="H38:H41" si="34">+F38/B38-1</f>
        <v>#REF!</v>
      </c>
      <c r="J38" s="7" t="e">
        <f>+#REF!</f>
        <v>#REF!</v>
      </c>
      <c r="K38" s="7" t="e">
        <f>+#REF!</f>
        <v>#REF!</v>
      </c>
      <c r="L38" s="7" t="e">
        <f>+#REF!+#REF!</f>
        <v>#REF!</v>
      </c>
      <c r="M38" s="7" t="e">
        <f>+#REF!</f>
        <v>#REF!</v>
      </c>
      <c r="N38" s="7" t="e">
        <f t="shared" ref="N38:N41" si="35">SUM(F38,J38:M38)</f>
        <v>#REF!</v>
      </c>
      <c r="O38" s="7"/>
      <c r="P38" s="7" t="e">
        <f t="shared" si="2"/>
        <v>#REF!</v>
      </c>
      <c r="Q38" s="7" t="e">
        <f>#REF!+#REF!</f>
        <v>#REF!</v>
      </c>
      <c r="R38" s="7" t="e">
        <f t="shared" ref="R38:R41" si="36">P38-Q38</f>
        <v>#REF!</v>
      </c>
    </row>
    <row r="39" spans="1:18">
      <c r="A39" s="45" t="s">
        <v>167</v>
      </c>
      <c r="B39" s="7" t="e">
        <f>SUM(#REF!)</f>
        <v>#REF!</v>
      </c>
      <c r="C39" s="7" t="e">
        <f>+#REF!</f>
        <v>#REF!</v>
      </c>
      <c r="D39" s="7" t="e">
        <f t="shared" si="13"/>
        <v>#REF!</v>
      </c>
      <c r="E39" s="7"/>
      <c r="F39" s="7" t="e">
        <f>SUM(#REF!)</f>
        <v>#REF!</v>
      </c>
      <c r="G39" s="7" t="e">
        <f t="shared" si="33"/>
        <v>#REF!</v>
      </c>
      <c r="H39" s="51" t="e">
        <f t="shared" si="34"/>
        <v>#REF!</v>
      </c>
      <c r="J39" s="7" t="e">
        <f>+#REF!</f>
        <v>#REF!</v>
      </c>
      <c r="K39" s="7" t="e">
        <f>+#REF!</f>
        <v>#REF!</v>
      </c>
      <c r="L39" s="7" t="e">
        <f>+#REF!+#REF!</f>
        <v>#REF!</v>
      </c>
      <c r="M39" s="7" t="e">
        <f>+#REF!</f>
        <v>#REF!</v>
      </c>
      <c r="N39" s="7" t="e">
        <f t="shared" si="35"/>
        <v>#REF!</v>
      </c>
      <c r="O39" s="7"/>
      <c r="P39" s="7" t="e">
        <f t="shared" si="2"/>
        <v>#REF!</v>
      </c>
      <c r="Q39" s="7" t="e">
        <f>#REF!+#REF!</f>
        <v>#REF!</v>
      </c>
      <c r="R39" s="7" t="e">
        <f t="shared" si="36"/>
        <v>#REF!</v>
      </c>
    </row>
    <row r="40" spans="1:18">
      <c r="A40" s="45" t="s">
        <v>168</v>
      </c>
      <c r="B40" s="7" t="e">
        <f>SUM(#REF!)</f>
        <v>#REF!</v>
      </c>
      <c r="C40" s="7" t="e">
        <f>+#REF!</f>
        <v>#REF!</v>
      </c>
      <c r="D40" s="7" t="e">
        <f t="shared" si="13"/>
        <v>#REF!</v>
      </c>
      <c r="E40" s="7"/>
      <c r="F40" s="7" t="e">
        <f>SUM(#REF!)</f>
        <v>#REF!</v>
      </c>
      <c r="G40" s="7" t="e">
        <f t="shared" si="33"/>
        <v>#REF!</v>
      </c>
      <c r="H40" s="51" t="e">
        <f t="shared" si="34"/>
        <v>#REF!</v>
      </c>
      <c r="J40" s="7" t="e">
        <f>+#REF!</f>
        <v>#REF!</v>
      </c>
      <c r="K40" s="7" t="e">
        <f>+#REF!</f>
        <v>#REF!</v>
      </c>
      <c r="L40" s="7" t="e">
        <f>+#REF!+#REF!</f>
        <v>#REF!</v>
      </c>
      <c r="M40" s="7" t="e">
        <f>+#REF!</f>
        <v>#REF!</v>
      </c>
      <c r="N40" s="7" t="e">
        <f t="shared" si="35"/>
        <v>#REF!</v>
      </c>
      <c r="O40" s="7"/>
      <c r="P40" s="7" t="e">
        <f t="shared" si="2"/>
        <v>#REF!</v>
      </c>
      <c r="Q40" s="7" t="e">
        <f>#REF!+#REF!</f>
        <v>#REF!</v>
      </c>
      <c r="R40" s="7" t="e">
        <f t="shared" si="36"/>
        <v>#REF!</v>
      </c>
    </row>
    <row r="41" spans="1:18">
      <c r="A41" s="45" t="s">
        <v>169</v>
      </c>
      <c r="B41" s="50" t="e">
        <f>SUM(#REF!)</f>
        <v>#REF!</v>
      </c>
      <c r="C41" s="50" t="e">
        <f>+#REF!</f>
        <v>#REF!</v>
      </c>
      <c r="D41" s="50" t="e">
        <f t="shared" si="13"/>
        <v>#REF!</v>
      </c>
      <c r="E41" s="50"/>
      <c r="F41" s="50" t="e">
        <f>SUM(#REF!)</f>
        <v>#REF!</v>
      </c>
      <c r="G41" s="50" t="e">
        <f t="shared" si="33"/>
        <v>#REF!</v>
      </c>
      <c r="H41" s="81" t="e">
        <f t="shared" si="34"/>
        <v>#REF!</v>
      </c>
      <c r="J41" s="50" t="e">
        <f>+#REF!</f>
        <v>#REF!</v>
      </c>
      <c r="K41" s="50" t="e">
        <f>+#REF!</f>
        <v>#REF!</v>
      </c>
      <c r="L41" s="50" t="e">
        <f>+#REF!+#REF!</f>
        <v>#REF!</v>
      </c>
      <c r="M41" s="50" t="e">
        <f>+#REF!</f>
        <v>#REF!</v>
      </c>
      <c r="N41" s="50" t="e">
        <f t="shared" si="35"/>
        <v>#REF!</v>
      </c>
      <c r="O41" s="7"/>
      <c r="P41" s="50" t="e">
        <f t="shared" si="2"/>
        <v>#REF!</v>
      </c>
      <c r="Q41" s="50" t="e">
        <f>#REF!+#REF!</f>
        <v>#REF!</v>
      </c>
      <c r="R41" s="50" t="e">
        <f t="shared" si="36"/>
        <v>#REF!</v>
      </c>
    </row>
    <row r="42" spans="1:18">
      <c r="A42" s="45" t="s">
        <v>152</v>
      </c>
      <c r="B42" s="7" t="e">
        <f>SUM(B38:B41)</f>
        <v>#REF!</v>
      </c>
      <c r="C42" s="7" t="e">
        <f>SUM(C38:C41)</f>
        <v>#REF!</v>
      </c>
      <c r="D42" s="7" t="e">
        <f t="shared" si="13"/>
        <v>#REF!</v>
      </c>
      <c r="E42" s="7" t="e">
        <f>F42-D42</f>
        <v>#REF!</v>
      </c>
      <c r="F42" s="7" t="e">
        <f>SUM(F38:F41)</f>
        <v>#REF!</v>
      </c>
      <c r="G42" s="7" t="e">
        <f>+F42-B42</f>
        <v>#REF!</v>
      </c>
      <c r="H42" s="51" t="e">
        <f>+F42/B42-1</f>
        <v>#REF!</v>
      </c>
      <c r="J42" s="7" t="e">
        <f>SUM(J38:J41)</f>
        <v>#REF!</v>
      </c>
      <c r="K42" s="7" t="e">
        <f t="shared" ref="K42:P42" si="37">SUM(K38:K41)</f>
        <v>#REF!</v>
      </c>
      <c r="L42" s="7" t="e">
        <f t="shared" si="37"/>
        <v>#REF!</v>
      </c>
      <c r="M42" s="7" t="e">
        <f t="shared" si="37"/>
        <v>#REF!</v>
      </c>
      <c r="N42" s="7" t="e">
        <f t="shared" si="37"/>
        <v>#REF!</v>
      </c>
      <c r="O42" s="7"/>
      <c r="P42" s="7" t="e">
        <f t="shared" si="37"/>
        <v>#REF!</v>
      </c>
      <c r="Q42" s="7" t="e">
        <f t="shared" ref="Q42" si="38">SUM(Q38:Q41)</f>
        <v>#REF!</v>
      </c>
      <c r="R42" s="7" t="e">
        <f t="shared" ref="R42" si="39">SUM(R38:R41)</f>
        <v>#REF!</v>
      </c>
    </row>
    <row r="43" spans="1:18">
      <c r="A43" s="45"/>
      <c r="F43" s="7"/>
      <c r="G43" s="7"/>
      <c r="H43" s="51"/>
      <c r="J43" s="7"/>
      <c r="K43" s="7"/>
      <c r="L43" s="7"/>
      <c r="M43" s="7"/>
      <c r="N43" s="7"/>
      <c r="O43" s="7"/>
      <c r="P43" s="7"/>
      <c r="Q43" s="7"/>
      <c r="R43" s="7"/>
    </row>
    <row r="44" spans="1:18">
      <c r="A44" s="45" t="s">
        <v>170</v>
      </c>
      <c r="B44" s="7">
        <f>SUM('IGS-SUB'!D12:D30)</f>
        <v>92681051.668997616</v>
      </c>
      <c r="C44" s="7">
        <f>+'IGS-SUB'!D32</f>
        <v>87389</v>
      </c>
      <c r="D44" s="7">
        <f t="shared" si="13"/>
        <v>92768440.668997616</v>
      </c>
      <c r="E44" s="7"/>
      <c r="F44" s="7">
        <f>SUM('IGS-SUB'!G12:G30)</f>
        <v>101222753.29871759</v>
      </c>
      <c r="G44" s="7">
        <f t="shared" ref="G44:G45" si="40">+F44-B44</f>
        <v>8541701.6297199726</v>
      </c>
      <c r="H44" s="51">
        <f t="shared" ref="H44:H45" si="41">+F44/B44-1</f>
        <v>9.2162329579792868E-2</v>
      </c>
      <c r="J44" s="7" t="e">
        <f>+'IGS-SUB'!#REF!</f>
        <v>#REF!</v>
      </c>
      <c r="K44" s="7">
        <f>+'IGS-SUB'!G38</f>
        <v>0</v>
      </c>
      <c r="L44" s="7">
        <f>+'IGS-SUB'!G34+'IGS-SUB'!G36</f>
        <v>0</v>
      </c>
      <c r="M44" s="7" t="e">
        <f>+'IGS-SUB'!#REF!</f>
        <v>#REF!</v>
      </c>
      <c r="N44" s="7" t="e">
        <f t="shared" ref="N44:N45" si="42">SUM(F44,J44:M44)</f>
        <v>#REF!</v>
      </c>
      <c r="O44" s="7"/>
      <c r="P44" s="7" t="e">
        <f t="shared" si="2"/>
        <v>#REF!</v>
      </c>
      <c r="Q44" s="7">
        <f>'IGS-SUB'!G48+'IGS-SUB'!G30</f>
        <v>51303114.259347595</v>
      </c>
      <c r="R44" s="7" t="e">
        <f t="shared" ref="R44:R45" si="43">P44-Q44</f>
        <v>#REF!</v>
      </c>
    </row>
    <row r="45" spans="1:18">
      <c r="A45" s="45" t="s">
        <v>171</v>
      </c>
      <c r="B45" s="50">
        <f>SUM('IGS-TRAN'!D12:D29)</f>
        <v>15829972.16801505</v>
      </c>
      <c r="C45" s="50">
        <f>+'IGS-TRAN'!D30</f>
        <v>15846</v>
      </c>
      <c r="D45" s="50">
        <f t="shared" si="13"/>
        <v>15845818.16801505</v>
      </c>
      <c r="E45" s="50"/>
      <c r="F45" s="50">
        <f>SUM('IGS-TRAN'!G12:G28)</f>
        <v>17091643.42101505</v>
      </c>
      <c r="G45" s="50">
        <f t="shared" si="40"/>
        <v>1261671.2530000005</v>
      </c>
      <c r="H45" s="81">
        <f t="shared" si="41"/>
        <v>7.9701419535610274E-2</v>
      </c>
      <c r="J45" s="50" t="e">
        <f>+'IGS-TRAN'!#REF!</f>
        <v>#REF!</v>
      </c>
      <c r="K45" s="50">
        <f>+'IGS-TRAN'!G36</f>
        <v>0</v>
      </c>
      <c r="L45" s="50">
        <f>+'IGS-TRAN'!G32+'IGS-TRAN'!G34</f>
        <v>0</v>
      </c>
      <c r="M45" s="50" t="e">
        <f>+'IGS-TRAN'!#REF!</f>
        <v>#REF!</v>
      </c>
      <c r="N45" s="50" t="e">
        <f t="shared" si="42"/>
        <v>#REF!</v>
      </c>
      <c r="O45" s="7"/>
      <c r="P45" s="50" t="e">
        <f t="shared" si="2"/>
        <v>#REF!</v>
      </c>
      <c r="Q45" s="50">
        <f>'IGS-TRAN'!G46+'IGS-TRAN'!G28</f>
        <v>9046900.1560150515</v>
      </c>
      <c r="R45" s="50" t="e">
        <f t="shared" si="43"/>
        <v>#REF!</v>
      </c>
    </row>
    <row r="46" spans="1:18">
      <c r="A46" s="45" t="s">
        <v>154</v>
      </c>
      <c r="B46" s="7">
        <f>SUM(B44:B45)</f>
        <v>108511023.83701266</v>
      </c>
      <c r="C46" s="7">
        <f>SUM(C44:C45)</f>
        <v>103235</v>
      </c>
      <c r="D46" s="7">
        <f t="shared" si="13"/>
        <v>108614258.83701266</v>
      </c>
      <c r="E46" s="7">
        <f>F46-D46</f>
        <v>9700137.8827199787</v>
      </c>
      <c r="F46" s="7">
        <f>SUM(F44:F45)</f>
        <v>118314396.71973264</v>
      </c>
      <c r="G46" s="7">
        <f>+F46-B46</f>
        <v>9803372.8827199787</v>
      </c>
      <c r="H46" s="51">
        <f>+F46/B46-1</f>
        <v>9.0344487924517214E-2</v>
      </c>
      <c r="J46" s="7" t="e">
        <f>SUM(J44:J45)</f>
        <v>#REF!</v>
      </c>
      <c r="K46" s="7">
        <f t="shared" ref="K46:P46" si="44">SUM(K44:K45)</f>
        <v>0</v>
      </c>
      <c r="L46" s="7">
        <f t="shared" si="44"/>
        <v>0</v>
      </c>
      <c r="M46" s="7" t="e">
        <f t="shared" si="44"/>
        <v>#REF!</v>
      </c>
      <c r="N46" s="7" t="e">
        <f t="shared" si="44"/>
        <v>#REF!</v>
      </c>
      <c r="O46" s="7"/>
      <c r="P46" s="7" t="e">
        <f t="shared" si="44"/>
        <v>#REF!</v>
      </c>
      <c r="Q46" s="7">
        <f t="shared" ref="Q46" si="45">SUM(Q44:Q45)</f>
        <v>60350014.415362649</v>
      </c>
      <c r="R46" s="7" t="e">
        <f t="shared" ref="R46" si="46">SUM(R44:R45)</f>
        <v>#REF!</v>
      </c>
    </row>
    <row r="47" spans="1:18">
      <c r="A47" s="26"/>
      <c r="F47" s="7"/>
      <c r="G47" s="7"/>
      <c r="H47" s="51"/>
      <c r="J47" s="7"/>
      <c r="K47" s="7"/>
      <c r="L47" s="7"/>
      <c r="M47" s="7"/>
      <c r="N47" s="7"/>
      <c r="O47" s="7"/>
      <c r="P47" s="7"/>
      <c r="Q47" s="7"/>
      <c r="R47" s="7"/>
    </row>
    <row r="48" spans="1:18">
      <c r="A48" s="45" t="s">
        <v>144</v>
      </c>
      <c r="B48" s="7">
        <f>+SUM(SL!D14:D37)</f>
        <v>1358821.8340438304</v>
      </c>
      <c r="C48" s="7">
        <f>+SL!D39</f>
        <v>1192</v>
      </c>
      <c r="D48" s="7">
        <f t="shared" si="13"/>
        <v>1360013.8340438304</v>
      </c>
      <c r="E48" s="7">
        <f>F48-D48</f>
        <v>83854.159999999916</v>
      </c>
      <c r="F48" s="7">
        <f>SUM(SL!G14:G37)</f>
        <v>1443867.9940438303</v>
      </c>
      <c r="G48" s="7">
        <f>+F48-B48</f>
        <v>85046.159999999916</v>
      </c>
      <c r="H48" s="51">
        <f>+F48/B48-1</f>
        <v>6.2588161206465154E-2</v>
      </c>
      <c r="J48" s="7" t="e">
        <f>+SL!#REF!</f>
        <v>#REF!</v>
      </c>
      <c r="K48" s="7">
        <f>+SL!G43</f>
        <v>0</v>
      </c>
      <c r="L48" s="7">
        <f>+SL!G41</f>
        <v>0</v>
      </c>
      <c r="M48" s="7" t="e">
        <f>+SL!#REF!</f>
        <v>#REF!</v>
      </c>
      <c r="N48" s="7" t="e">
        <f>SUM(F48,J48:M48)</f>
        <v>#REF!</v>
      </c>
      <c r="O48" s="7"/>
      <c r="P48" s="7" t="e">
        <f t="shared" si="2"/>
        <v>#REF!</v>
      </c>
      <c r="Q48" s="7">
        <f>SL!G51+SL!G37</f>
        <v>238976.87004383033</v>
      </c>
      <c r="R48" s="7" t="e">
        <f>P48-Q48</f>
        <v>#REF!</v>
      </c>
    </row>
    <row r="49" spans="1:18">
      <c r="A49" s="45"/>
      <c r="F49" s="7"/>
      <c r="G49" s="7"/>
      <c r="H49" s="51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45" t="s">
        <v>153</v>
      </c>
      <c r="B50" s="7">
        <f>SUM(MW!D12:D23)</f>
        <v>183246.4664362481</v>
      </c>
      <c r="C50" s="7">
        <f>+MW!D25</f>
        <v>178</v>
      </c>
      <c r="D50" s="7">
        <f t="shared" ref="D50" si="47">+B50+C50</f>
        <v>183424.4664362481</v>
      </c>
      <c r="E50" s="7">
        <f>F50-D50</f>
        <v>15878.588199999998</v>
      </c>
      <c r="F50" s="7">
        <f>SUM(MW!G12:G23)</f>
        <v>199303.0546362481</v>
      </c>
      <c r="G50" s="7">
        <f>+F50-B50</f>
        <v>16056.588199999998</v>
      </c>
      <c r="H50" s="51">
        <f>+F50/B50-1</f>
        <v>8.7622907618718715E-2</v>
      </c>
      <c r="J50" s="7" t="e">
        <f>+MW!#REF!</f>
        <v>#REF!</v>
      </c>
      <c r="K50" s="7">
        <f>+MW!G29</f>
        <v>0</v>
      </c>
      <c r="L50" s="7">
        <f>+MW!G27</f>
        <v>0</v>
      </c>
      <c r="M50" s="7" t="e">
        <f>+MW!#REF!</f>
        <v>#REF!</v>
      </c>
      <c r="N50" s="7" t="e">
        <f>SUM(F50,J50:M50)</f>
        <v>#REF!</v>
      </c>
      <c r="O50" s="7"/>
      <c r="P50" s="7" t="e">
        <f t="shared" si="2"/>
        <v>#REF!</v>
      </c>
      <c r="Q50" s="7">
        <f>MW!G39+MW!G23</f>
        <v>57468.964686248073</v>
      </c>
      <c r="R50" s="7" t="e">
        <f>P50-Q50</f>
        <v>#REF!</v>
      </c>
    </row>
    <row r="51" spans="1:18">
      <c r="A51" s="26"/>
      <c r="F51" s="7"/>
      <c r="G51" s="7"/>
      <c r="H51" s="51"/>
      <c r="J51" s="7"/>
      <c r="K51" s="7"/>
      <c r="L51" s="7"/>
      <c r="M51" s="7"/>
      <c r="N51" s="7"/>
      <c r="P51" s="7"/>
      <c r="Q51" s="7"/>
      <c r="R51" s="7"/>
    </row>
    <row r="52" spans="1:18">
      <c r="A52" s="26" t="s">
        <v>14</v>
      </c>
      <c r="B52" s="7" t="e">
        <f>SUM(B8,B10,B16,B24,B28,B36,B42,B46,B48,B50)</f>
        <v>#REF!</v>
      </c>
      <c r="C52" s="7" t="e">
        <f>SUM(C8,C10,C16,C24,C28,C36,C42,C46,C48,C50)</f>
        <v>#REF!</v>
      </c>
      <c r="D52" s="7" t="e">
        <f>SUM(D8,D10,D16,D24,D28,D36,D42,D46,D48,D50)</f>
        <v>#REF!</v>
      </c>
      <c r="E52" s="7" t="e">
        <f>F52-D52</f>
        <v>#REF!</v>
      </c>
      <c r="F52" s="7" t="e">
        <f>SUM(F8,F10,F16,F24,F28,F36,F42,F46,F48,F50)</f>
        <v>#REF!</v>
      </c>
      <c r="G52" s="7" t="e">
        <f>+F52-B52</f>
        <v>#REF!</v>
      </c>
      <c r="H52" s="51" t="e">
        <f>+F52/B52-1</f>
        <v>#REF!</v>
      </c>
      <c r="J52" s="7" t="e">
        <f>SUM(J8,J10,J16,J24,J28,J36,J42,J46,J48,J50)</f>
        <v>#REF!</v>
      </c>
      <c r="K52" s="7" t="e">
        <f>SUM(K8,K10,K16,K24,K28,K36,K42,K46,K48,K50)</f>
        <v>#REF!</v>
      </c>
      <c r="L52" s="7" t="e">
        <f>SUM(L8,L10,L16,L24,L28,L36,L42,L46,L48,L50)</f>
        <v>#REF!</v>
      </c>
      <c r="M52" s="7" t="e">
        <f>SUM(M8,M10,M16,M24,M28,M36,M42,M46,M48,M50)</f>
        <v>#REF!</v>
      </c>
      <c r="N52" s="7" t="e">
        <f>SUM(N8,N10,N16,N24,N28,N36,N42,N46,N48,N50)</f>
        <v>#REF!</v>
      </c>
      <c r="P52" s="7" t="e">
        <f>SUM(P8,P10,P16,P24,P28,P36,P42,P46,P48,P50)</f>
        <v>#REF!</v>
      </c>
      <c r="Q52" s="7" t="e">
        <f>SUM(Q8,Q10,Q16,Q24,Q28,Q36,Q42,Q46,Q48,Q50)</f>
        <v>#REF!</v>
      </c>
      <c r="R52" s="7" t="e">
        <f>SUM(R8,R10,R16,R24,R28,R36,R42,R46,R48,R50)</f>
        <v>#REF!</v>
      </c>
    </row>
    <row r="53" spans="1:18">
      <c r="F53" s="7"/>
      <c r="G53" s="7"/>
      <c r="J53" s="7"/>
      <c r="K53" s="7"/>
      <c r="L53" s="7"/>
      <c r="M53" s="7"/>
      <c r="N53" s="7"/>
    </row>
    <row r="54" spans="1:18">
      <c r="A54" s="73" t="s">
        <v>187</v>
      </c>
      <c r="F54" s="7"/>
      <c r="J54" s="7"/>
      <c r="K54" s="7"/>
      <c r="L54" s="7"/>
      <c r="M54" s="54"/>
      <c r="N54" s="7"/>
      <c r="O54" s="47" t="s">
        <v>191</v>
      </c>
      <c r="P54" s="7">
        <f>P8</f>
        <v>235994913.61910883</v>
      </c>
      <c r="Q54" s="7"/>
      <c r="R54" s="7"/>
    </row>
    <row r="55" spans="1:18">
      <c r="A55" s="73" t="s">
        <v>188</v>
      </c>
      <c r="J55" s="7"/>
      <c r="K55" s="7"/>
      <c r="L55" s="7"/>
      <c r="M55" s="7"/>
      <c r="N55" s="7"/>
      <c r="O55" s="47" t="s">
        <v>192</v>
      </c>
      <c r="P55" s="7" t="e">
        <f>P52-P54</f>
        <v>#REF!</v>
      </c>
      <c r="Q55" s="7" t="e">
        <f>Q52-Q54</f>
        <v>#REF!</v>
      </c>
      <c r="R55" s="7" t="e">
        <f>R52-R54</f>
        <v>#REF!</v>
      </c>
    </row>
    <row r="56" spans="1:18">
      <c r="J56" s="7"/>
      <c r="K56" s="7"/>
      <c r="L56" s="7"/>
      <c r="M56" s="7"/>
      <c r="N56" s="7"/>
    </row>
    <row r="57" spans="1:18">
      <c r="J57" s="7"/>
      <c r="K57" s="7"/>
      <c r="L57" s="7"/>
      <c r="M57" s="7"/>
      <c r="N57" s="7"/>
    </row>
    <row r="58" spans="1:18">
      <c r="J58" s="7"/>
      <c r="K58" s="7"/>
      <c r="L58" s="7"/>
      <c r="M58" s="7"/>
      <c r="N58" s="7"/>
    </row>
  </sheetData>
  <mergeCells count="1">
    <mergeCell ref="F3:R3"/>
  </mergeCells>
  <pageMargins left="0.7" right="0.7" top="0.75" bottom="0.75" header="0.3" footer="0.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47"/>
  <sheetViews>
    <sheetView zoomScaleNormal="100" workbookViewId="0">
      <selection activeCell="I17" sqref="I17"/>
    </sheetView>
  </sheetViews>
  <sheetFormatPr defaultRowHeight="12.5"/>
  <cols>
    <col min="1" max="1" width="24" customWidth="1"/>
    <col min="2" max="2" width="14.81640625" style="15" customWidth="1"/>
    <col min="3" max="3" width="13.26953125" style="15" bestFit="1" customWidth="1"/>
    <col min="4" max="4" width="16.81640625" style="15" customWidth="1"/>
    <col min="5" max="5" width="16.26953125" style="16" customWidth="1"/>
    <col min="6" max="6" width="13.1796875" style="16" customWidth="1"/>
    <col min="7" max="7" width="16" style="16" customWidth="1"/>
    <col min="8" max="10" width="8.81640625" style="16" customWidth="1"/>
    <col min="11" max="11" width="12.7265625" bestFit="1" customWidth="1"/>
    <col min="12" max="12" width="10.7265625" customWidth="1"/>
  </cols>
  <sheetData>
    <row r="1" spans="1:10">
      <c r="A1" t="s">
        <v>19</v>
      </c>
    </row>
    <row r="2" spans="1:10">
      <c r="A2" t="s">
        <v>116</v>
      </c>
    </row>
    <row r="3" spans="1:10">
      <c r="A3" t="s">
        <v>347</v>
      </c>
    </row>
    <row r="5" spans="1:10">
      <c r="A5" t="s">
        <v>20</v>
      </c>
    </row>
    <row r="8" spans="1:10">
      <c r="B8" s="172" t="s">
        <v>1</v>
      </c>
      <c r="E8" s="17" t="s">
        <v>2</v>
      </c>
    </row>
    <row r="9" spans="1:10">
      <c r="B9" s="172" t="s">
        <v>3</v>
      </c>
      <c r="C9" s="210" t="s">
        <v>4</v>
      </c>
      <c r="D9" s="172" t="s">
        <v>4</v>
      </c>
      <c r="E9" s="17" t="s">
        <v>3</v>
      </c>
      <c r="F9" s="18" t="s">
        <v>2</v>
      </c>
      <c r="G9" s="18" t="s">
        <v>2</v>
      </c>
    </row>
    <row r="10" spans="1:10">
      <c r="B10" s="173" t="s">
        <v>5</v>
      </c>
      <c r="C10" s="173" t="s">
        <v>6</v>
      </c>
      <c r="D10" s="173" t="s">
        <v>7</v>
      </c>
      <c r="E10" s="19" t="s">
        <v>5</v>
      </c>
      <c r="F10" s="19" t="s">
        <v>6</v>
      </c>
      <c r="G10" s="19" t="s">
        <v>7</v>
      </c>
    </row>
    <row r="12" spans="1:10">
      <c r="A12" s="3" t="s">
        <v>8</v>
      </c>
      <c r="I12" s="215"/>
      <c r="J12" s="168"/>
    </row>
    <row r="13" spans="1:10">
      <c r="A13" t="s">
        <v>98</v>
      </c>
      <c r="B13" s="180">
        <v>2038701434</v>
      </c>
      <c r="C13" s="174">
        <v>8.795E-2</v>
      </c>
      <c r="D13" s="211">
        <f>+B13*C13</f>
        <v>179303791.12029999</v>
      </c>
      <c r="E13" s="20">
        <f>+B13</f>
        <v>2038701434</v>
      </c>
      <c r="F13" s="56">
        <f>'Rate Input'!C4</f>
        <v>0.10265000000000001</v>
      </c>
      <c r="G13" s="54">
        <f>+E13*F13</f>
        <v>209272702.2001</v>
      </c>
      <c r="I13" s="79"/>
      <c r="J13" s="15"/>
    </row>
    <row r="14" spans="1:10">
      <c r="B14" s="183"/>
      <c r="C14" s="212"/>
      <c r="D14" s="211"/>
      <c r="E14" s="20"/>
      <c r="F14" s="57"/>
      <c r="G14" s="54"/>
      <c r="I14" s="79"/>
      <c r="J14" s="11"/>
    </row>
    <row r="15" spans="1:10">
      <c r="A15" t="s">
        <v>15</v>
      </c>
      <c r="B15" s="180">
        <v>254765</v>
      </c>
      <c r="C15" s="174">
        <v>5.0939999999999999E-2</v>
      </c>
      <c r="D15" s="211">
        <f>+B15*C15</f>
        <v>12977.7291</v>
      </c>
      <c r="E15" s="20">
        <f>+B15</f>
        <v>254765</v>
      </c>
      <c r="F15" s="56">
        <f>'Rate Input'!C5</f>
        <v>6.3469999999999999E-2</v>
      </c>
      <c r="G15" s="54">
        <f>+E15*F15</f>
        <v>16169.93455</v>
      </c>
      <c r="I15" s="79"/>
      <c r="J15" s="15"/>
    </row>
    <row r="16" spans="1:10">
      <c r="B16" s="183"/>
      <c r="C16" s="181"/>
      <c r="D16" s="211"/>
      <c r="E16" s="20"/>
      <c r="F16" s="58"/>
      <c r="G16" s="54"/>
      <c r="I16" s="216"/>
      <c r="J16" s="183"/>
    </row>
    <row r="17" spans="1:12">
      <c r="A17" t="s">
        <v>11</v>
      </c>
      <c r="B17" s="180">
        <v>2038956199</v>
      </c>
      <c r="C17" s="181"/>
      <c r="D17" s="211"/>
      <c r="E17" s="20">
        <f>+B17</f>
        <v>2038956199</v>
      </c>
      <c r="F17" s="58"/>
      <c r="G17" s="54"/>
    </row>
    <row r="18" spans="1:12">
      <c r="B18" s="183"/>
      <c r="C18" s="181"/>
      <c r="D18" s="211"/>
      <c r="E18" s="20"/>
      <c r="F18" s="58"/>
      <c r="G18" s="54"/>
    </row>
    <row r="19" spans="1:12">
      <c r="A19" t="s">
        <v>12</v>
      </c>
      <c r="B19" s="180">
        <v>1631330</v>
      </c>
      <c r="C19" s="176">
        <v>11</v>
      </c>
      <c r="D19" s="211">
        <f>+B19*C19+1</f>
        <v>17944631</v>
      </c>
      <c r="E19" s="20">
        <f>+B19+B23</f>
        <v>1637416</v>
      </c>
      <c r="F19" s="59">
        <f>'Rate Input'!B4</f>
        <v>14</v>
      </c>
      <c r="G19" s="54">
        <f>+E19*F19</f>
        <v>22923824</v>
      </c>
      <c r="I19" s="20"/>
    </row>
    <row r="20" spans="1:12">
      <c r="B20" s="183"/>
      <c r="C20" s="181"/>
      <c r="D20" s="211"/>
      <c r="E20" s="20"/>
      <c r="F20" s="58"/>
      <c r="G20" s="54"/>
      <c r="L20" s="20"/>
    </row>
    <row r="21" spans="1:12">
      <c r="A21" t="s">
        <v>13</v>
      </c>
      <c r="B21" s="180">
        <v>1636224</v>
      </c>
      <c r="C21" s="181"/>
      <c r="D21" s="211"/>
      <c r="E21" s="20">
        <f>+B21</f>
        <v>1636224</v>
      </c>
      <c r="F21" s="58"/>
      <c r="G21" s="54"/>
      <c r="L21" s="20"/>
    </row>
    <row r="22" spans="1:12">
      <c r="B22" s="181"/>
      <c r="C22" s="181"/>
      <c r="D22" s="211"/>
      <c r="E22" s="79"/>
      <c r="F22" s="183"/>
      <c r="G22" s="211"/>
      <c r="L22" s="20"/>
    </row>
    <row r="23" spans="1:12" s="198" customFormat="1">
      <c r="A23" s="198" t="s">
        <v>268</v>
      </c>
      <c r="B23" s="213">
        <v>6086</v>
      </c>
      <c r="C23" s="181"/>
      <c r="D23" s="211">
        <v>48688</v>
      </c>
      <c r="E23" s="79"/>
      <c r="F23" s="183"/>
      <c r="G23" s="211"/>
      <c r="H23" s="199"/>
      <c r="I23" s="199"/>
      <c r="J23" s="200"/>
    </row>
    <row r="24" spans="1:12">
      <c r="A24" t="s">
        <v>16</v>
      </c>
      <c r="B24" s="181"/>
      <c r="C24" s="181"/>
      <c r="D24" s="211">
        <v>-44073</v>
      </c>
      <c r="E24" s="79"/>
      <c r="F24" s="183"/>
      <c r="G24" s="211"/>
    </row>
    <row r="25" spans="1:12">
      <c r="A25" t="s">
        <v>17</v>
      </c>
      <c r="B25" s="181"/>
      <c r="C25" s="177">
        <v>1.5985060633393854E-3</v>
      </c>
      <c r="D25" s="211">
        <f>+B17*C25</f>
        <v>3259283.8469849266</v>
      </c>
      <c r="F25" s="60">
        <f>C25</f>
        <v>1.5985060633393854E-3</v>
      </c>
      <c r="G25" s="54">
        <f>+E17*F25</f>
        <v>3259283.8469849266</v>
      </c>
    </row>
    <row r="26" spans="1:12">
      <c r="A26" t="s">
        <v>269</v>
      </c>
      <c r="B26" s="181"/>
      <c r="C26" s="181"/>
      <c r="D26" s="211">
        <v>60</v>
      </c>
      <c r="G26" s="54"/>
    </row>
    <row r="27" spans="1:12">
      <c r="A27" t="s">
        <v>266</v>
      </c>
      <c r="B27" s="181"/>
      <c r="C27" s="181"/>
      <c r="D27" s="211">
        <v>199311</v>
      </c>
      <c r="G27" s="54"/>
    </row>
    <row r="28" spans="1:12">
      <c r="D28" s="186"/>
      <c r="G28" s="46"/>
    </row>
    <row r="29" spans="1:12">
      <c r="A29" s="47"/>
      <c r="D29" s="186"/>
      <c r="E29" s="20"/>
      <c r="F29" s="59"/>
      <c r="G29" s="46"/>
    </row>
    <row r="30" spans="1:12">
      <c r="A30" s="47" t="s">
        <v>184</v>
      </c>
      <c r="C30" s="174">
        <v>5.7999999999999996E-3</v>
      </c>
      <c r="D30" s="186">
        <v>9878889</v>
      </c>
      <c r="E30" s="20"/>
      <c r="F30" s="56"/>
      <c r="G30" s="46">
        <v>0</v>
      </c>
    </row>
    <row r="31" spans="1:12">
      <c r="A31" s="47"/>
      <c r="D31" s="186"/>
      <c r="E31" s="20"/>
      <c r="F31" s="59"/>
      <c r="G31" s="46"/>
    </row>
    <row r="32" spans="1:12" s="15" customFormat="1">
      <c r="A32" s="181" t="s">
        <v>183</v>
      </c>
      <c r="C32" s="178">
        <v>3.7088999999999997E-2</v>
      </c>
      <c r="D32" s="186"/>
      <c r="E32" s="11"/>
      <c r="F32" s="195"/>
      <c r="G32" s="186">
        <v>0</v>
      </c>
      <c r="H32" s="79"/>
      <c r="I32" s="79"/>
      <c r="J32" s="79"/>
    </row>
    <row r="33" spans="1:12">
      <c r="A33" s="47"/>
      <c r="D33" s="186"/>
      <c r="E33" s="20"/>
      <c r="F33" s="59"/>
      <c r="G33" s="46"/>
    </row>
    <row r="34" spans="1:12">
      <c r="A34" t="s">
        <v>18</v>
      </c>
      <c r="B34" s="181"/>
      <c r="C34" s="181"/>
      <c r="D34" s="211">
        <v>4811373</v>
      </c>
      <c r="E34" s="7"/>
      <c r="F34" s="80"/>
      <c r="G34" s="46">
        <v>0</v>
      </c>
    </row>
    <row r="35" spans="1:12">
      <c r="A35" s="12"/>
      <c r="B35" s="203"/>
      <c r="C35" s="203"/>
      <c r="D35" s="214"/>
      <c r="E35" s="209"/>
      <c r="F35" s="209"/>
      <c r="G35" s="13"/>
    </row>
    <row r="36" spans="1:12">
      <c r="A36" t="s">
        <v>261</v>
      </c>
      <c r="D36" s="11">
        <f>SUM(D13:D35)</f>
        <v>215414931.69638491</v>
      </c>
      <c r="G36" s="7">
        <f>SUM(G13:G34)</f>
        <v>235471979.98163491</v>
      </c>
    </row>
    <row r="38" spans="1:12">
      <c r="A38" t="s">
        <v>182</v>
      </c>
      <c r="B38" s="180">
        <f>B19</f>
        <v>1631330</v>
      </c>
      <c r="C38" s="176">
        <v>0.15</v>
      </c>
      <c r="D38" s="211">
        <f>C38*B38</f>
        <v>244699.5</v>
      </c>
      <c r="E38" s="20">
        <f>B38</f>
        <v>1631330</v>
      </c>
      <c r="F38" s="59">
        <v>0.2</v>
      </c>
      <c r="G38" s="54">
        <f>+E38*F38</f>
        <v>326266</v>
      </c>
      <c r="I38" s="74"/>
      <c r="L38" s="20"/>
    </row>
    <row r="40" spans="1:12">
      <c r="A40" s="47" t="s">
        <v>180</v>
      </c>
      <c r="C40" s="176">
        <v>0.15</v>
      </c>
      <c r="D40" s="186">
        <f>C40*B38</f>
        <v>244699.5</v>
      </c>
      <c r="E40" s="20">
        <f>+E19</f>
        <v>1637416</v>
      </c>
      <c r="F40" s="59">
        <v>0.1</v>
      </c>
      <c r="G40" s="46">
        <f>+F40*E40</f>
        <v>163741.6</v>
      </c>
    </row>
    <row r="42" spans="1:12">
      <c r="A42" t="s">
        <v>285</v>
      </c>
      <c r="E42" s="74">
        <f>SUM(G36:G40)</f>
        <v>235961987.58163491</v>
      </c>
      <c r="F42" s="195">
        <f>'Rate Input'!G4</f>
        <v>7.3400000000000002E-3</v>
      </c>
      <c r="G42" s="46">
        <f>+F42*E42</f>
        <v>1731960.9888492003</v>
      </c>
    </row>
    <row r="43" spans="1:12">
      <c r="A43" s="12"/>
      <c r="B43" s="203"/>
      <c r="C43" s="203"/>
      <c r="D43" s="203"/>
      <c r="E43" s="209"/>
      <c r="F43" s="209"/>
      <c r="G43" s="209"/>
    </row>
    <row r="44" spans="1:12">
      <c r="A44" t="s">
        <v>262</v>
      </c>
      <c r="D44" s="11">
        <f>SUM(D36:D42)</f>
        <v>215904330.69638491</v>
      </c>
      <c r="G44" s="11">
        <f>SUM(G36:G42)</f>
        <v>237693948.5704841</v>
      </c>
    </row>
    <row r="46" spans="1:12">
      <c r="G46" s="74"/>
    </row>
    <row r="47" spans="1:12">
      <c r="G47" s="74"/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6"/>
  <sheetViews>
    <sheetView topLeftCell="A7" workbookViewId="0">
      <selection activeCell="G13" sqref="G13"/>
    </sheetView>
  </sheetViews>
  <sheetFormatPr defaultRowHeight="12.5"/>
  <cols>
    <col min="1" max="1" width="23.453125" customWidth="1"/>
    <col min="2" max="2" width="12.7265625" customWidth="1"/>
    <col min="3" max="3" width="12.81640625" customWidth="1"/>
    <col min="4" max="4" width="12.7265625" customWidth="1"/>
    <col min="5" max="5" width="16.26953125" style="16" customWidth="1"/>
    <col min="6" max="6" width="13.7265625" style="16" customWidth="1"/>
    <col min="7" max="7" width="14.26953125" style="16" customWidth="1"/>
    <col min="8" max="10" width="8.81640625" style="16" customWidth="1"/>
  </cols>
  <sheetData>
    <row r="1" spans="1:10">
      <c r="A1" t="str">
        <f>+RS!A1</f>
        <v>KENTUCKY POWER BILLING ANALYSIS</v>
      </c>
    </row>
    <row r="2" spans="1:10">
      <c r="A2" t="str">
        <f>+RS!A2</f>
        <v>PROFORMA</v>
      </c>
    </row>
    <row r="3" spans="1:10">
      <c r="A3" t="str">
        <f>+RS!A3</f>
        <v>TEST YEAR ENDED FEBRUARY 28, 2017</v>
      </c>
    </row>
    <row r="5" spans="1:10">
      <c r="A5" t="s">
        <v>99</v>
      </c>
    </row>
    <row r="8" spans="1:10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10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10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10">
      <c r="A12" s="3" t="s">
        <v>8</v>
      </c>
    </row>
    <row r="13" spans="1:10">
      <c r="A13" t="s">
        <v>21</v>
      </c>
      <c r="B13" s="61">
        <v>1151984</v>
      </c>
      <c r="C13" s="161">
        <v>0.13394</v>
      </c>
      <c r="D13" s="7">
        <f>+B13*C13</f>
        <v>154296.73696000001</v>
      </c>
      <c r="E13" s="20">
        <f>+B13</f>
        <v>1151984</v>
      </c>
      <c r="F13" s="56">
        <f>'Rate Input'!C7</f>
        <v>0.15298999999999999</v>
      </c>
      <c r="G13" s="7">
        <f>+E13*F13</f>
        <v>176242.03215999997</v>
      </c>
      <c r="I13" s="74"/>
      <c r="J13" s="74"/>
    </row>
    <row r="14" spans="1:10">
      <c r="A14" t="s">
        <v>22</v>
      </c>
      <c r="B14" s="61">
        <v>2226851</v>
      </c>
      <c r="C14" s="161">
        <f>RS!C15</f>
        <v>5.0939999999999999E-2</v>
      </c>
      <c r="D14" s="7">
        <f>+B14*C14</f>
        <v>113435.78994</v>
      </c>
      <c r="E14" s="20">
        <f>+B14</f>
        <v>2226851</v>
      </c>
      <c r="F14" s="56">
        <f>'Rate Input'!C8</f>
        <v>6.3469999999999999E-2</v>
      </c>
      <c r="G14" s="7">
        <f>+E14*F14</f>
        <v>141338.23296999998</v>
      </c>
      <c r="I14" s="74"/>
    </row>
    <row r="15" spans="1:10">
      <c r="C15" s="55"/>
      <c r="D15" s="7"/>
      <c r="E15" s="20"/>
      <c r="F15" s="57"/>
      <c r="G15" s="7"/>
    </row>
    <row r="16" spans="1:10">
      <c r="A16" t="s">
        <v>11</v>
      </c>
      <c r="B16" s="4">
        <f>SUM(B13:B14)</f>
        <v>3378835</v>
      </c>
      <c r="C16" s="55"/>
      <c r="D16" s="7"/>
      <c r="E16" s="20">
        <f>+B16</f>
        <v>3378835</v>
      </c>
      <c r="F16" s="57"/>
      <c r="G16" s="7"/>
    </row>
    <row r="17" spans="1:13">
      <c r="C17" s="55"/>
      <c r="D17" s="7"/>
      <c r="E17" s="20"/>
      <c r="F17" s="57"/>
      <c r="G17" s="7"/>
    </row>
    <row r="18" spans="1:13">
      <c r="A18" t="s">
        <v>23</v>
      </c>
      <c r="B18" s="61">
        <v>0</v>
      </c>
      <c r="C18" s="161">
        <v>-7.45E-3</v>
      </c>
      <c r="D18" s="7">
        <f>+B18*C18</f>
        <v>0</v>
      </c>
      <c r="E18" s="20">
        <f>+B18</f>
        <v>0</v>
      </c>
      <c r="F18" s="56">
        <v>-7.45E-3</v>
      </c>
      <c r="G18" s="7">
        <f>+E18*F18</f>
        <v>0</v>
      </c>
    </row>
    <row r="19" spans="1:13">
      <c r="B19" s="58"/>
      <c r="C19" s="47"/>
      <c r="D19" s="7"/>
      <c r="E19" s="20"/>
      <c r="F19" s="58"/>
      <c r="G19" s="7"/>
    </row>
    <row r="20" spans="1:13">
      <c r="A20" s="47" t="s">
        <v>12</v>
      </c>
      <c r="B20" s="61">
        <v>1699</v>
      </c>
      <c r="C20" s="162">
        <v>13.6</v>
      </c>
      <c r="D20" s="7">
        <f>+B20*C20-1</f>
        <v>23105.399999999998</v>
      </c>
      <c r="E20" s="20">
        <f>+B20</f>
        <v>1699</v>
      </c>
      <c r="F20" s="59">
        <f>'Rate Input'!B10</f>
        <v>16</v>
      </c>
      <c r="G20" s="7">
        <f>+E20*F20</f>
        <v>27184</v>
      </c>
      <c r="I20" s="74"/>
      <c r="L20" s="74"/>
    </row>
    <row r="21" spans="1:13">
      <c r="A21" s="47" t="s">
        <v>225</v>
      </c>
      <c r="B21" s="61">
        <v>106</v>
      </c>
      <c r="C21" s="162">
        <v>3.75</v>
      </c>
      <c r="D21" s="7">
        <f>+B21*C21</f>
        <v>397.5</v>
      </c>
      <c r="E21" s="20">
        <f>+B21</f>
        <v>106</v>
      </c>
      <c r="F21" s="59">
        <f>'Rate Input'!B9</f>
        <v>3.75</v>
      </c>
      <c r="G21" s="7">
        <f>+E21*F21</f>
        <v>397.5</v>
      </c>
    </row>
    <row r="22" spans="1:13">
      <c r="B22" s="58"/>
      <c r="D22" s="7"/>
      <c r="E22" s="20"/>
      <c r="F22"/>
      <c r="G22" s="7"/>
    </row>
    <row r="23" spans="1:13">
      <c r="A23" t="s">
        <v>13</v>
      </c>
      <c r="B23" s="61">
        <v>1968</v>
      </c>
      <c r="D23" s="7"/>
      <c r="E23" s="20">
        <f>+B23</f>
        <v>1968</v>
      </c>
      <c r="F23"/>
      <c r="G23" s="7"/>
    </row>
    <row r="24" spans="1:13">
      <c r="A24" t="s">
        <v>270</v>
      </c>
      <c r="B24" s="61">
        <v>142</v>
      </c>
      <c r="D24" s="7">
        <v>1931</v>
      </c>
      <c r="E24" s="20"/>
      <c r="F24"/>
      <c r="G24" s="7"/>
    </row>
    <row r="25" spans="1:13">
      <c r="A25" t="s">
        <v>16</v>
      </c>
      <c r="D25" s="7">
        <v>-398</v>
      </c>
      <c r="F25"/>
      <c r="G25" s="7"/>
      <c r="M25" s="7"/>
    </row>
    <row r="26" spans="1:13">
      <c r="D26" s="7"/>
      <c r="F26"/>
      <c r="G26" s="7"/>
    </row>
    <row r="27" spans="1:13">
      <c r="A27" t="str">
        <f>+RS!A$25</f>
        <v xml:space="preserve">Fuel </v>
      </c>
      <c r="C27" s="217">
        <f>+RS!C25</f>
        <v>1.5985060633393854E-3</v>
      </c>
      <c r="D27" s="7">
        <f>+B16*C27</f>
        <v>5401.0882345233322</v>
      </c>
      <c r="F27" s="10">
        <f>+RS!F25</f>
        <v>1.5985060633393854E-3</v>
      </c>
      <c r="G27" s="7">
        <f>+E16*F27</f>
        <v>5401.0882345233322</v>
      </c>
    </row>
    <row r="28" spans="1:13">
      <c r="D28" s="7"/>
      <c r="G28" s="7"/>
    </row>
    <row r="29" spans="1:13">
      <c r="A29" t="str">
        <f>+RS!A$27</f>
        <v>Purchase Power Adjustment</v>
      </c>
      <c r="D29" s="46">
        <v>305</v>
      </c>
      <c r="G29" s="46"/>
    </row>
    <row r="30" spans="1:13">
      <c r="D30" s="46"/>
      <c r="G30" s="46"/>
    </row>
    <row r="31" spans="1:13">
      <c r="D31" s="46"/>
      <c r="E31" s="20"/>
      <c r="F31" s="21"/>
      <c r="G31" s="46"/>
    </row>
    <row r="32" spans="1:13">
      <c r="A32" t="str">
        <f>+RS!A30</f>
        <v>Big Sandy 1 Operations Rider</v>
      </c>
      <c r="C32" s="161">
        <v>5.7999999999999996E-3</v>
      </c>
      <c r="D32" s="46">
        <v>16442</v>
      </c>
      <c r="E32" s="20"/>
      <c r="F32" s="56"/>
      <c r="G32" s="46">
        <v>0</v>
      </c>
    </row>
    <row r="34" spans="1:7">
      <c r="A34" t="str">
        <f>+RS!A32</f>
        <v>Big Sandy Retirement Rider</v>
      </c>
      <c r="C34" s="163">
        <v>3.7088999999999997E-2</v>
      </c>
      <c r="D34" s="46">
        <v>0</v>
      </c>
      <c r="E34" s="7"/>
      <c r="F34" s="80"/>
      <c r="G34" s="46">
        <v>0</v>
      </c>
    </row>
    <row r="35" spans="1:7">
      <c r="D35" s="46"/>
      <c r="E35" s="20"/>
      <c r="F35" s="59"/>
      <c r="G35" s="46"/>
    </row>
    <row r="36" spans="1:7">
      <c r="A36" t="str">
        <f>+RS!A$34</f>
        <v>Environmental Surcharge</v>
      </c>
      <c r="C36" s="15"/>
      <c r="D36" s="46">
        <v>7226</v>
      </c>
      <c r="E36" s="7"/>
      <c r="F36" s="80"/>
      <c r="G36" s="46">
        <v>0</v>
      </c>
    </row>
    <row r="37" spans="1:7">
      <c r="A37" s="12"/>
      <c r="B37" s="12"/>
      <c r="C37" s="12"/>
      <c r="D37" s="13"/>
      <c r="E37" s="209"/>
      <c r="F37" s="209"/>
      <c r="G37" s="13"/>
    </row>
    <row r="38" spans="1:7">
      <c r="A38" t="s">
        <v>261</v>
      </c>
      <c r="D38" s="7">
        <f>SUM(D13:D37)</f>
        <v>322142.51513452333</v>
      </c>
      <c r="G38" s="7">
        <f>SUM(G13:G36)</f>
        <v>350562.85336452327</v>
      </c>
    </row>
    <row r="40" spans="1:7">
      <c r="A40" t="s">
        <v>182</v>
      </c>
      <c r="B40" s="61">
        <f>B21+B20+B24</f>
        <v>1947</v>
      </c>
      <c r="C40" s="162">
        <v>0.15</v>
      </c>
      <c r="D40" s="7">
        <f>+B40*C40</f>
        <v>292.05</v>
      </c>
      <c r="E40" s="20">
        <f>B40</f>
        <v>1947</v>
      </c>
      <c r="F40" s="59">
        <v>0.2</v>
      </c>
      <c r="G40" s="7">
        <f>+E40*F40</f>
        <v>389.40000000000003</v>
      </c>
    </row>
    <row r="42" spans="1:7">
      <c r="A42" t="str">
        <f>+RS!A40</f>
        <v>Economic Development Rider</v>
      </c>
      <c r="C42" s="162">
        <v>0.15</v>
      </c>
      <c r="D42" s="46">
        <f>C42*B40</f>
        <v>292.05</v>
      </c>
      <c r="E42" s="20">
        <f>+E20+E21</f>
        <v>1805</v>
      </c>
      <c r="F42" s="59">
        <f>+RS!F40</f>
        <v>0.1</v>
      </c>
      <c r="G42" s="46">
        <f>+E42*F42</f>
        <v>180.5</v>
      </c>
    </row>
    <row r="44" spans="1:7">
      <c r="A44" t="s">
        <v>284</v>
      </c>
      <c r="E44" s="74">
        <f>SUM(G38:G42)</f>
        <v>351132.75336452329</v>
      </c>
      <c r="F44" s="195">
        <f>RS!F42</f>
        <v>7.3400000000000002E-3</v>
      </c>
      <c r="G44" s="46">
        <f>+E44*F44</f>
        <v>2577.3144096956012</v>
      </c>
    </row>
    <row r="45" spans="1:7">
      <c r="A45" s="12"/>
      <c r="B45" s="12"/>
      <c r="C45" s="12"/>
      <c r="D45" s="12"/>
      <c r="E45" s="209"/>
      <c r="F45" s="209"/>
      <c r="G45" s="209"/>
    </row>
    <row r="46" spans="1:7">
      <c r="A46" t="s">
        <v>262</v>
      </c>
      <c r="D46" s="74">
        <f>SUM(D38:D45)</f>
        <v>322726.61513452331</v>
      </c>
      <c r="G46" s="74">
        <f>SUM(G38:G45)</f>
        <v>353710.06777421891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3"/>
  <sheetViews>
    <sheetView topLeftCell="A4" workbookViewId="0">
      <selection activeCell="D33" sqref="D33"/>
    </sheetView>
  </sheetViews>
  <sheetFormatPr defaultRowHeight="12.5"/>
  <cols>
    <col min="1" max="1" width="22.26953125" customWidth="1"/>
    <col min="2" max="2" width="12.7265625" customWidth="1"/>
    <col min="3" max="3" width="12.81640625" customWidth="1"/>
    <col min="4" max="4" width="12.7265625" customWidth="1"/>
    <col min="5" max="5" width="16.26953125" style="16" customWidth="1"/>
    <col min="6" max="6" width="13.7265625" style="16" customWidth="1"/>
    <col min="7" max="7" width="13.453125" style="16" customWidth="1"/>
    <col min="8" max="8" width="8.81640625" style="16" customWidth="1"/>
    <col min="9" max="9" width="9.7265625" style="16" customWidth="1"/>
    <col min="10" max="10" width="8.81640625" style="16" customWidth="1"/>
  </cols>
  <sheetData>
    <row r="1" spans="1:9">
      <c r="A1" t="str">
        <f>+RS!A1</f>
        <v>KENTUCKY POWER BILLING ANALYSIS</v>
      </c>
    </row>
    <row r="2" spans="1:9">
      <c r="A2" t="str">
        <f>+RS!A2</f>
        <v>PROFORMA</v>
      </c>
    </row>
    <row r="3" spans="1:9">
      <c r="A3" t="str">
        <f>+RS!A3</f>
        <v>TEST YEAR ENDED FEBRUARY 28, 2017</v>
      </c>
    </row>
    <row r="5" spans="1:9">
      <c r="A5" t="s">
        <v>100</v>
      </c>
    </row>
    <row r="8" spans="1:9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9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9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9">
      <c r="A12" s="3" t="s">
        <v>8</v>
      </c>
    </row>
    <row r="13" spans="1:9">
      <c r="A13" t="s">
        <v>21</v>
      </c>
      <c r="B13" s="61">
        <v>26598</v>
      </c>
      <c r="C13" s="161">
        <f>RSLMTOD!C13</f>
        <v>0.13394</v>
      </c>
      <c r="D13" s="7">
        <f>+B13*C13</f>
        <v>3562.5361200000002</v>
      </c>
      <c r="E13" s="20">
        <f>+B13</f>
        <v>26598</v>
      </c>
      <c r="F13" s="56">
        <f>RSLMTOD!F13</f>
        <v>0.15298999999999999</v>
      </c>
      <c r="G13" s="7">
        <f>+E13*F13</f>
        <v>4069.2280199999996</v>
      </c>
      <c r="I13" s="74"/>
    </row>
    <row r="14" spans="1:9">
      <c r="A14" t="s">
        <v>22</v>
      </c>
      <c r="B14" s="61">
        <v>51806</v>
      </c>
      <c r="C14" s="161">
        <f>RSLMTOD!C14</f>
        <v>5.0939999999999999E-2</v>
      </c>
      <c r="D14" s="7">
        <f>+B14*C14</f>
        <v>2638.99764</v>
      </c>
      <c r="E14" s="20">
        <f>+B14</f>
        <v>51806</v>
      </c>
      <c r="F14" s="56">
        <f>RSLMTOD!F14</f>
        <v>6.3469999999999999E-2</v>
      </c>
      <c r="G14" s="7">
        <f>+E14*F14</f>
        <v>3288.12682</v>
      </c>
      <c r="I14" s="74"/>
    </row>
    <row r="15" spans="1:9">
      <c r="D15" s="7"/>
      <c r="E15" s="20"/>
      <c r="F15" s="58"/>
      <c r="G15" s="7"/>
    </row>
    <row r="16" spans="1:9">
      <c r="A16" t="s">
        <v>11</v>
      </c>
      <c r="B16" s="4">
        <f>SUM(B13:B14)</f>
        <v>78404</v>
      </c>
      <c r="D16" s="7"/>
      <c r="E16" s="20">
        <f>+B16</f>
        <v>78404</v>
      </c>
      <c r="F16" s="58"/>
      <c r="G16" s="7"/>
    </row>
    <row r="17" spans="1:9">
      <c r="D17" s="7"/>
      <c r="E17" s="20"/>
      <c r="F17" s="58"/>
      <c r="G17" s="7"/>
    </row>
    <row r="18" spans="1:9">
      <c r="A18" s="47" t="s">
        <v>12</v>
      </c>
      <c r="B18" s="61">
        <v>60</v>
      </c>
      <c r="C18" s="162">
        <f>+RSLMTOD!C20</f>
        <v>13.6</v>
      </c>
      <c r="D18" s="7">
        <f>+B18*C18</f>
        <v>816</v>
      </c>
      <c r="E18" s="20">
        <f>+B18</f>
        <v>60</v>
      </c>
      <c r="F18" s="59">
        <f>RSLMTOD!F20</f>
        <v>16</v>
      </c>
      <c r="G18" s="7">
        <f>+E18*F18</f>
        <v>960</v>
      </c>
      <c r="I18" s="74"/>
    </row>
    <row r="19" spans="1:9">
      <c r="B19" s="58"/>
      <c r="D19" s="7"/>
      <c r="E19" s="20"/>
      <c r="F19" s="58"/>
      <c r="G19" s="7"/>
    </row>
    <row r="20" spans="1:9">
      <c r="A20" t="s">
        <v>13</v>
      </c>
      <c r="B20" s="61">
        <f>B18</f>
        <v>60</v>
      </c>
      <c r="D20" s="7"/>
      <c r="E20" s="20">
        <f>+B20</f>
        <v>60</v>
      </c>
      <c r="F20" s="58"/>
      <c r="G20" s="7"/>
    </row>
    <row r="21" spans="1:9">
      <c r="D21" s="7"/>
      <c r="E21" s="20"/>
      <c r="F21" s="58"/>
      <c r="G21" s="7"/>
    </row>
    <row r="22" spans="1:9">
      <c r="A22" t="s">
        <v>16</v>
      </c>
      <c r="C22" s="10"/>
      <c r="D22" s="7">
        <v>0</v>
      </c>
      <c r="F22" s="62"/>
      <c r="G22" s="7">
        <v>0</v>
      </c>
    </row>
    <row r="23" spans="1:9">
      <c r="D23" s="7"/>
      <c r="F23" s="58"/>
      <c r="G23" s="7"/>
    </row>
    <row r="24" spans="1:9">
      <c r="A24" t="str">
        <f>+RS!A$25</f>
        <v xml:space="preserve">Fuel </v>
      </c>
      <c r="C24" s="217">
        <f>+RS!C25</f>
        <v>1.5985060633393854E-3</v>
      </c>
      <c r="D24" s="7">
        <f>+B16*C24</f>
        <v>125.32926939006117</v>
      </c>
      <c r="F24" s="62">
        <f>+RS!F25</f>
        <v>1.5985060633393854E-3</v>
      </c>
      <c r="G24" s="7">
        <f>+E16*F24</f>
        <v>125.32926939006117</v>
      </c>
    </row>
    <row r="25" spans="1:9">
      <c r="D25" s="7"/>
      <c r="F25" s="63"/>
      <c r="G25" s="7"/>
    </row>
    <row r="26" spans="1:9">
      <c r="A26" s="179" t="s">
        <v>260</v>
      </c>
      <c r="D26" s="7">
        <v>7</v>
      </c>
      <c r="F26" s="63"/>
      <c r="G26" s="7"/>
    </row>
    <row r="27" spans="1:9">
      <c r="D27" s="7"/>
      <c r="F27" s="63"/>
      <c r="G27" s="7"/>
    </row>
    <row r="28" spans="1:9">
      <c r="D28" s="7"/>
      <c r="E28" s="20"/>
      <c r="F28" s="59"/>
      <c r="G28" s="7"/>
    </row>
    <row r="29" spans="1:9">
      <c r="A29" t="str">
        <f>+RS!A30</f>
        <v>Big Sandy 1 Operations Rider</v>
      </c>
      <c r="C29" s="161">
        <f>RSLMTOD!C32</f>
        <v>5.7999999999999996E-3</v>
      </c>
      <c r="D29" s="7">
        <v>392</v>
      </c>
      <c r="E29" s="20"/>
      <c r="F29" s="56"/>
      <c r="G29" s="7">
        <v>0</v>
      </c>
    </row>
    <row r="30" spans="1:9">
      <c r="D30" s="7"/>
      <c r="E30" s="20"/>
      <c r="F30" s="59"/>
      <c r="G30" s="7"/>
    </row>
    <row r="31" spans="1:9">
      <c r="A31" t="str">
        <f>+RS!A32</f>
        <v>Big Sandy Retirement Rider</v>
      </c>
      <c r="C31" s="163">
        <f>RSLMTOD!C34</f>
        <v>3.7088999999999997E-2</v>
      </c>
      <c r="D31" s="7">
        <v>0</v>
      </c>
      <c r="E31" s="7"/>
      <c r="F31" s="80"/>
      <c r="G31" s="7">
        <v>0</v>
      </c>
    </row>
    <row r="32" spans="1:9">
      <c r="D32" s="7"/>
      <c r="E32" s="20"/>
      <c r="F32" s="59"/>
      <c r="G32" s="7"/>
    </row>
    <row r="33" spans="1:10">
      <c r="A33" t="str">
        <f>+RS!A$34</f>
        <v>Environmental Surcharge</v>
      </c>
      <c r="C33" s="15"/>
      <c r="D33" s="46">
        <v>171</v>
      </c>
      <c r="E33" s="7"/>
      <c r="F33" s="80"/>
      <c r="G33" s="7">
        <v>0</v>
      </c>
    </row>
    <row r="34" spans="1:10">
      <c r="A34" s="12"/>
      <c r="B34" s="12"/>
      <c r="C34" s="12"/>
      <c r="D34" s="13"/>
      <c r="E34" s="209"/>
      <c r="F34" s="209"/>
      <c r="G34" s="13"/>
    </row>
    <row r="35" spans="1:10">
      <c r="A35" s="47" t="s">
        <v>261</v>
      </c>
      <c r="D35" s="7">
        <f>SUM(D13:D34)</f>
        <v>7712.8630293900615</v>
      </c>
      <c r="G35" s="7">
        <f>SUM(G13:G34)</f>
        <v>8442.6841093900603</v>
      </c>
    </row>
    <row r="37" spans="1:10">
      <c r="A37" s="47" t="s">
        <v>182</v>
      </c>
      <c r="B37" s="61">
        <f>+B18</f>
        <v>60</v>
      </c>
      <c r="C37" s="162">
        <f>RSLMTOD!C40</f>
        <v>0.15</v>
      </c>
      <c r="D37" s="7">
        <f>+B37*C37</f>
        <v>9</v>
      </c>
      <c r="E37" s="20">
        <f>B37</f>
        <v>60</v>
      </c>
      <c r="F37" s="59">
        <v>0.2</v>
      </c>
      <c r="G37" s="7">
        <f>+E37*F37</f>
        <v>12</v>
      </c>
      <c r="J37" s="74"/>
    </row>
    <row r="39" spans="1:10">
      <c r="A39" t="str">
        <f>+RS!A40</f>
        <v>Economic Development Rider</v>
      </c>
      <c r="C39" s="162">
        <f>RSLMTOD!C42</f>
        <v>0.15</v>
      </c>
      <c r="D39" s="7">
        <f>C39*B37</f>
        <v>9</v>
      </c>
      <c r="E39" s="20">
        <f>+E18</f>
        <v>60</v>
      </c>
      <c r="F39" s="59">
        <f>+RS!F40</f>
        <v>0.1</v>
      </c>
      <c r="G39" s="7">
        <f>+E39*F39</f>
        <v>6</v>
      </c>
    </row>
    <row r="41" spans="1:10">
      <c r="A41" t="s">
        <v>284</v>
      </c>
      <c r="E41" s="74">
        <f>SUM(G35:G39)</f>
        <v>8460.6841093900603</v>
      </c>
      <c r="F41" s="195">
        <f>RS!F42</f>
        <v>7.3400000000000002E-3</v>
      </c>
      <c r="G41" s="7">
        <f>+E41*F41</f>
        <v>62.101421362923041</v>
      </c>
    </row>
    <row r="42" spans="1:10">
      <c r="A42" s="12"/>
      <c r="B42" s="12"/>
      <c r="C42" s="12"/>
      <c r="D42" s="12"/>
      <c r="E42" s="209"/>
      <c r="F42" s="209"/>
      <c r="G42" s="209"/>
    </row>
    <row r="43" spans="1:10">
      <c r="A43" t="s">
        <v>262</v>
      </c>
      <c r="D43" s="74">
        <f>SUM(D35:D42)</f>
        <v>7730.8630293900615</v>
      </c>
      <c r="G43" s="74">
        <f>SUM(G35:G42)</f>
        <v>8522.7855307529826</v>
      </c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5"/>
  <sheetViews>
    <sheetView topLeftCell="A7" zoomScaleNormal="100" workbookViewId="0">
      <selection activeCell="F35" sqref="F35"/>
    </sheetView>
  </sheetViews>
  <sheetFormatPr defaultRowHeight="12.5"/>
  <cols>
    <col min="1" max="1" width="25.54296875" customWidth="1"/>
    <col min="2" max="2" width="12.81640625" style="15" customWidth="1"/>
    <col min="3" max="3" width="12.453125" style="15" customWidth="1"/>
    <col min="4" max="4" width="14.453125" style="15" bestFit="1" customWidth="1"/>
    <col min="5" max="5" width="16.26953125" style="16" customWidth="1"/>
    <col min="6" max="6" width="15" style="16" bestFit="1" customWidth="1"/>
    <col min="7" max="7" width="14.26953125" style="16" customWidth="1"/>
    <col min="8" max="8" width="16.54296875" style="16" customWidth="1"/>
    <col min="9" max="9" width="11.7265625" style="16" bestFit="1" customWidth="1"/>
    <col min="10" max="10" width="8.81640625" style="16" customWidth="1"/>
  </cols>
  <sheetData>
    <row r="1" spans="1:9">
      <c r="A1" t="str">
        <f>+RS!A1</f>
        <v>KENTUCKY POWER BILLING ANALYSIS</v>
      </c>
    </row>
    <row r="2" spans="1:9">
      <c r="A2" t="str">
        <f>+RS!A2</f>
        <v>PROFORMA</v>
      </c>
    </row>
    <row r="3" spans="1:9">
      <c r="A3" t="str">
        <f>+RS!A3</f>
        <v>TEST YEAR ENDED FEBRUARY 28, 2017</v>
      </c>
    </row>
    <row r="5" spans="1:9">
      <c r="A5" t="s">
        <v>0</v>
      </c>
    </row>
    <row r="8" spans="1:9">
      <c r="B8" s="172" t="str">
        <f>+RS!B8</f>
        <v xml:space="preserve">Current </v>
      </c>
      <c r="C8" s="172"/>
      <c r="D8" s="172"/>
      <c r="E8" s="17" t="str">
        <f>+RS!E8</f>
        <v>Proposed</v>
      </c>
      <c r="F8" s="17"/>
      <c r="G8" s="17"/>
    </row>
    <row r="9" spans="1:9">
      <c r="B9" s="172" t="str">
        <f>+RS!B9</f>
        <v xml:space="preserve">Billing </v>
      </c>
      <c r="C9" s="172" t="str">
        <f>+RS!C9</f>
        <v>Current</v>
      </c>
      <c r="D9" s="172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9">
      <c r="B10" s="173" t="str">
        <f>+RS!B10</f>
        <v>Units</v>
      </c>
      <c r="C10" s="173" t="str">
        <f>+RS!C10</f>
        <v>Rate</v>
      </c>
      <c r="D10" s="173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9">
      <c r="A12" s="3" t="s">
        <v>8</v>
      </c>
      <c r="E12" s="20"/>
    </row>
    <row r="13" spans="1:9">
      <c r="A13" t="s">
        <v>9</v>
      </c>
      <c r="B13" s="180">
        <v>59293307</v>
      </c>
      <c r="C13" s="174">
        <v>0.11711000000000001</v>
      </c>
      <c r="D13" s="11">
        <f>+B13*C13</f>
        <v>6943839.1827700008</v>
      </c>
      <c r="E13" s="20"/>
      <c r="F13" s="56"/>
      <c r="G13" s="7"/>
      <c r="H13" s="20"/>
      <c r="I13" s="74"/>
    </row>
    <row r="14" spans="1:9">
      <c r="A14" t="s">
        <v>10</v>
      </c>
      <c r="B14" s="180">
        <v>68301984</v>
      </c>
      <c r="C14" s="174">
        <v>7.2669999999999998E-2</v>
      </c>
      <c r="D14" s="11">
        <f>+B14*C14</f>
        <v>4963505.1772799995</v>
      </c>
      <c r="E14" s="20"/>
      <c r="F14" s="56"/>
      <c r="G14" s="7"/>
      <c r="H14" s="20"/>
      <c r="I14" s="74"/>
    </row>
    <row r="15" spans="1:9">
      <c r="A15" s="47" t="s">
        <v>282</v>
      </c>
      <c r="B15" s="180"/>
      <c r="C15" s="174"/>
      <c r="D15" s="11"/>
      <c r="E15" s="180">
        <v>126017034</v>
      </c>
      <c r="F15" s="56">
        <f>'Rate Input'!C15</f>
        <v>9.8650000000000002E-2</v>
      </c>
      <c r="G15" s="11">
        <f>+E15*F15</f>
        <v>12431580.404100001</v>
      </c>
      <c r="H15" s="20"/>
      <c r="I15" s="74"/>
    </row>
    <row r="16" spans="1:9">
      <c r="A16" s="47" t="s">
        <v>283</v>
      </c>
      <c r="B16" s="180"/>
      <c r="C16" s="174"/>
      <c r="D16" s="11"/>
      <c r="E16" s="180">
        <v>1578257</v>
      </c>
      <c r="F16" s="56">
        <f>'Rate Input'!C16</f>
        <v>9.8970000000000002E-2</v>
      </c>
      <c r="G16" s="11">
        <f>+E16*F16</f>
        <v>156200.09529</v>
      </c>
      <c r="H16" s="20"/>
      <c r="I16" s="74"/>
    </row>
    <row r="17" spans="1:10">
      <c r="C17" s="181"/>
      <c r="D17" s="11"/>
      <c r="E17" s="20"/>
      <c r="F17" s="58"/>
      <c r="G17" s="7"/>
    </row>
    <row r="18" spans="1:10">
      <c r="A18" t="s">
        <v>11</v>
      </c>
      <c r="B18" s="182">
        <f>SUM(B13:B14)</f>
        <v>127595291</v>
      </c>
      <c r="C18" s="181"/>
      <c r="D18" s="11"/>
      <c r="E18" s="20">
        <f>+B18</f>
        <v>127595291</v>
      </c>
      <c r="F18" s="58"/>
      <c r="G18" s="7"/>
    </row>
    <row r="19" spans="1:10">
      <c r="C19" s="181"/>
      <c r="D19" s="11"/>
      <c r="E19" s="20"/>
      <c r="F19" s="58"/>
      <c r="G19" s="7"/>
    </row>
    <row r="20" spans="1:10">
      <c r="A20" t="s">
        <v>12</v>
      </c>
      <c r="B20" s="180">
        <v>271005</v>
      </c>
      <c r="C20" s="176">
        <v>17.5</v>
      </c>
      <c r="D20" s="11">
        <f>+B20*C20</f>
        <v>4742587.5</v>
      </c>
      <c r="E20" s="20">
        <f>+B20</f>
        <v>271005</v>
      </c>
      <c r="F20" s="59">
        <f>'Rate Input'!B14</f>
        <v>22.5</v>
      </c>
      <c r="G20" s="11">
        <f>+E20*F20</f>
        <v>6097612.5</v>
      </c>
      <c r="H20" s="74"/>
    </row>
    <row r="21" spans="1:10">
      <c r="B21" s="183"/>
      <c r="C21" s="181"/>
      <c r="D21" s="11"/>
      <c r="E21" s="20"/>
      <c r="F21" s="58"/>
      <c r="G21" s="7"/>
    </row>
    <row r="22" spans="1:10">
      <c r="A22" t="s">
        <v>13</v>
      </c>
      <c r="B22" s="180">
        <v>270900</v>
      </c>
      <c r="C22" s="181"/>
      <c r="D22" s="11"/>
      <c r="E22" s="20">
        <f>+B22</f>
        <v>270900</v>
      </c>
      <c r="F22" s="58"/>
      <c r="G22" s="7"/>
    </row>
    <row r="23" spans="1:10">
      <c r="C23" s="181"/>
      <c r="D23" s="11"/>
      <c r="E23" s="20"/>
      <c r="F23" s="58"/>
      <c r="G23" s="7"/>
    </row>
    <row r="24" spans="1:10">
      <c r="A24" t="str">
        <f>+RS!A$25</f>
        <v xml:space="preserve">Fuel </v>
      </c>
      <c r="C24" s="177">
        <f>+RS!C25</f>
        <v>1.5985060633393854E-3</v>
      </c>
      <c r="D24" s="11">
        <f>+B18*C24</f>
        <v>203961.84631705331</v>
      </c>
      <c r="F24" s="62">
        <f>RS!$F$25</f>
        <v>1.5985060633393854E-3</v>
      </c>
      <c r="G24" s="7">
        <f>+E18*F24</f>
        <v>203961.84631705331</v>
      </c>
      <c r="J24" s="74"/>
    </row>
    <row r="25" spans="1:10">
      <c r="D25" s="11"/>
      <c r="F25" s="63"/>
      <c r="G25" s="7"/>
    </row>
    <row r="26" spans="1:10">
      <c r="A26" s="181" t="s">
        <v>263</v>
      </c>
      <c r="D26" s="184">
        <v>15682</v>
      </c>
      <c r="F26" s="63"/>
      <c r="G26" s="46">
        <v>0</v>
      </c>
    </row>
    <row r="27" spans="1:10">
      <c r="A27" s="15"/>
      <c r="D27" s="185"/>
      <c r="F27" s="63"/>
      <c r="G27" s="46"/>
    </row>
    <row r="28" spans="1:10">
      <c r="A28" s="15" t="str">
        <f>RS!A30</f>
        <v>Big Sandy 1 Operations Rider</v>
      </c>
      <c r="C28" s="178"/>
      <c r="D28" s="184">
        <v>480884.62</v>
      </c>
      <c r="E28" s="20"/>
      <c r="F28" s="189"/>
      <c r="G28" s="46">
        <v>0</v>
      </c>
    </row>
    <row r="29" spans="1:10">
      <c r="A29" s="15"/>
      <c r="D29" s="185"/>
      <c r="E29" s="20"/>
      <c r="F29" s="59"/>
      <c r="G29" s="46"/>
    </row>
    <row r="30" spans="1:10">
      <c r="A30" s="15" t="str">
        <f>+RS!A$34</f>
        <v>Environmental Surcharge</v>
      </c>
      <c r="C30" s="178"/>
      <c r="D30" s="184">
        <v>432961</v>
      </c>
      <c r="G30" s="46">
        <v>0</v>
      </c>
    </row>
    <row r="31" spans="1:10">
      <c r="A31" s="12"/>
      <c r="B31" s="203"/>
      <c r="C31" s="203"/>
      <c r="D31" s="204"/>
      <c r="E31" s="205"/>
      <c r="F31" s="206"/>
      <c r="G31" s="207"/>
    </row>
    <row r="32" spans="1:10" s="187" customFormat="1" ht="13">
      <c r="A32" s="181" t="s">
        <v>261</v>
      </c>
      <c r="B32" s="181"/>
      <c r="C32" s="181"/>
      <c r="D32" s="211">
        <f>SUM(D13:D31)</f>
        <v>17783421.326367054</v>
      </c>
      <c r="E32" s="218"/>
      <c r="F32" s="219"/>
      <c r="G32" s="211">
        <f>SUM(G13:G31)</f>
        <v>18889354.845707051</v>
      </c>
      <c r="H32" s="188"/>
      <c r="I32" s="188"/>
      <c r="J32" s="188"/>
    </row>
    <row r="34" spans="1:10">
      <c r="A34" t="str">
        <f>RS!A40</f>
        <v>Economic Development Rider</v>
      </c>
      <c r="B34" s="182"/>
      <c r="C34" s="176">
        <v>0.15</v>
      </c>
      <c r="D34" s="11">
        <f>C34*B20</f>
        <v>40650.75</v>
      </c>
      <c r="E34" s="20">
        <f>+E20</f>
        <v>271005</v>
      </c>
      <c r="F34" s="59">
        <v>1</v>
      </c>
      <c r="G34" s="46">
        <f>+E34*F34</f>
        <v>271005</v>
      </c>
      <c r="I34" s="74"/>
    </row>
    <row r="35" spans="1:10">
      <c r="B35" s="182"/>
      <c r="C35" s="176"/>
      <c r="D35" s="11"/>
      <c r="E35" s="20"/>
      <c r="F35" s="59"/>
      <c r="G35" s="46"/>
    </row>
    <row r="36" spans="1:10">
      <c r="A36" s="47" t="s">
        <v>284</v>
      </c>
      <c r="B36" s="182"/>
      <c r="C36" s="176"/>
      <c r="D36" s="11"/>
      <c r="E36" s="208">
        <f>SUM(G12:G29,G34)-G24-G40</f>
        <v>15479426.319639999</v>
      </c>
      <c r="F36" s="195">
        <f>'Rate Input'!G14</f>
        <v>1.1413000000000001E-2</v>
      </c>
      <c r="G36" s="7">
        <f>+E36*F36</f>
        <v>176666.69258605133</v>
      </c>
    </row>
    <row r="37" spans="1:10">
      <c r="A37" s="12"/>
      <c r="B37" s="203"/>
      <c r="C37" s="203"/>
      <c r="D37" s="203"/>
      <c r="E37" s="209"/>
      <c r="F37" s="209"/>
      <c r="G37" s="209"/>
    </row>
    <row r="38" spans="1:10">
      <c r="A38" t="s">
        <v>262</v>
      </c>
      <c r="D38" s="211">
        <f>SUM(D32:D37)</f>
        <v>17824072.076367054</v>
      </c>
      <c r="E38" s="220"/>
      <c r="F38" s="220"/>
      <c r="G38" s="211">
        <f>SUM(G32:G37)</f>
        <v>19337026.538293105</v>
      </c>
      <c r="I38" s="74"/>
    </row>
    <row r="40" spans="1:10" s="187" customFormat="1" ht="13">
      <c r="A40" s="181" t="s">
        <v>189</v>
      </c>
      <c r="B40" s="181"/>
      <c r="C40" s="181"/>
      <c r="D40" s="181"/>
      <c r="E40" s="218"/>
      <c r="F40" s="60">
        <v>2.725E-2</v>
      </c>
      <c r="G40" s="211">
        <f>+E18*F40</f>
        <v>3476971.6797500001</v>
      </c>
      <c r="H40" s="188"/>
      <c r="I40" s="188"/>
      <c r="J40" s="188"/>
    </row>
    <row r="44" spans="1:10">
      <c r="F44" s="20"/>
    </row>
    <row r="45" spans="1:10">
      <c r="F45" s="20"/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1"/>
  <sheetViews>
    <sheetView topLeftCell="A4" workbookViewId="0">
      <selection activeCell="H36" sqref="H36"/>
    </sheetView>
  </sheetViews>
  <sheetFormatPr defaultRowHeight="12.5"/>
  <cols>
    <col min="1" max="1" width="50.81640625" bestFit="1" customWidth="1"/>
    <col min="2" max="2" width="11.7265625" customWidth="1"/>
    <col min="3" max="4" width="12.453125" customWidth="1"/>
    <col min="5" max="5" width="16.26953125" style="16" customWidth="1"/>
    <col min="6" max="7" width="12.7265625" style="16" customWidth="1"/>
    <col min="8" max="9" width="8.81640625" style="16" customWidth="1"/>
    <col min="10" max="10" width="11.7265625" style="16" bestFit="1" customWidth="1"/>
    <col min="11" max="11" width="11.7265625" bestFit="1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50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9</v>
      </c>
      <c r="B13" s="61">
        <v>2283242</v>
      </c>
      <c r="C13" s="164">
        <f>SGS!C13</f>
        <v>0.11711000000000001</v>
      </c>
      <c r="D13" s="7">
        <f>+B13*C13</f>
        <v>267390.47062000004</v>
      </c>
      <c r="E13" s="20"/>
      <c r="F13" s="56"/>
      <c r="G13" s="7"/>
    </row>
    <row r="14" spans="1:7">
      <c r="A14" t="s">
        <v>10</v>
      </c>
      <c r="B14" s="61">
        <v>1481654</v>
      </c>
      <c r="C14" s="164">
        <f>SGS!C14</f>
        <v>7.2669999999999998E-2</v>
      </c>
      <c r="D14" s="7">
        <f>+B14*C14</f>
        <v>107671.79618</v>
      </c>
      <c r="E14" s="20"/>
      <c r="F14" s="56"/>
      <c r="G14" s="7"/>
    </row>
    <row r="15" spans="1:7">
      <c r="A15" s="47" t="s">
        <v>282</v>
      </c>
      <c r="B15" s="61"/>
      <c r="C15" s="164"/>
      <c r="D15" s="7"/>
      <c r="E15" s="61">
        <v>2965981</v>
      </c>
      <c r="F15" s="56">
        <f>SGS!F15</f>
        <v>9.8650000000000002E-2</v>
      </c>
      <c r="G15" s="7">
        <f>+E15*F15</f>
        <v>292594.02565000003</v>
      </c>
    </row>
    <row r="16" spans="1:7">
      <c r="A16" s="47" t="s">
        <v>283</v>
      </c>
      <c r="B16" s="61"/>
      <c r="C16" s="164"/>
      <c r="D16" s="7"/>
      <c r="E16" s="61">
        <v>798915</v>
      </c>
      <c r="F16" s="56">
        <f>SGS!F16</f>
        <v>9.8970000000000002E-2</v>
      </c>
      <c r="G16" s="7">
        <f>+E16*F16</f>
        <v>79068.617549999995</v>
      </c>
    </row>
    <row r="17" spans="1:11">
      <c r="B17" s="58"/>
      <c r="D17" s="7"/>
      <c r="E17" s="61"/>
      <c r="F17" s="58"/>
      <c r="G17" s="7"/>
    </row>
    <row r="18" spans="1:11">
      <c r="A18" t="s">
        <v>11</v>
      </c>
      <c r="B18" s="53">
        <f>SUM(B13:B14)</f>
        <v>3764896</v>
      </c>
      <c r="D18" s="7"/>
      <c r="E18" s="20">
        <f>+B18</f>
        <v>3764896</v>
      </c>
      <c r="F18" s="58"/>
      <c r="G18" s="7"/>
    </row>
    <row r="19" spans="1:11">
      <c r="B19" s="58"/>
      <c r="D19" s="7"/>
      <c r="E19" s="20"/>
      <c r="F19" s="58"/>
      <c r="G19" s="7"/>
      <c r="K19" s="4"/>
    </row>
    <row r="20" spans="1:11">
      <c r="A20" t="s">
        <v>12</v>
      </c>
      <c r="B20" s="61">
        <v>17264</v>
      </c>
      <c r="C20" s="165">
        <v>13.5</v>
      </c>
      <c r="D20" s="7">
        <f>+B20*C20</f>
        <v>233064</v>
      </c>
      <c r="E20" s="20">
        <f>+B20</f>
        <v>17264</v>
      </c>
      <c r="F20" s="67">
        <f>'Rate Input'!B17</f>
        <v>13.5</v>
      </c>
      <c r="G20" s="11">
        <f>+E20*F20</f>
        <v>233064</v>
      </c>
      <c r="J20" s="74"/>
    </row>
    <row r="21" spans="1:11">
      <c r="B21" s="58"/>
      <c r="D21" s="7"/>
      <c r="E21" s="20"/>
      <c r="F21" s="58"/>
      <c r="G21" s="7"/>
    </row>
    <row r="22" spans="1:11">
      <c r="A22" t="s">
        <v>13</v>
      </c>
      <c r="B22" s="61">
        <v>13188</v>
      </c>
      <c r="D22" s="7"/>
      <c r="E22" s="20">
        <f>+B22</f>
        <v>13188</v>
      </c>
      <c r="F22" s="58"/>
      <c r="G22" s="7"/>
    </row>
    <row r="23" spans="1:11">
      <c r="D23" s="7"/>
      <c r="E23" s="20"/>
      <c r="F23" s="58"/>
      <c r="G23" s="7"/>
    </row>
    <row r="24" spans="1:11">
      <c r="A24" t="str">
        <f>+RS!A$25</f>
        <v xml:space="preserve">Fuel </v>
      </c>
      <c r="C24" s="161">
        <f>+RS!C25</f>
        <v>1.5985060633393854E-3</v>
      </c>
      <c r="D24" s="7">
        <f>+B18*C24</f>
        <v>6018.2090838421982</v>
      </c>
      <c r="F24" s="62">
        <f>RS!$F$25</f>
        <v>1.5985060633393854E-3</v>
      </c>
      <c r="G24" s="7">
        <f>+E18*F24</f>
        <v>6018.2090838421982</v>
      </c>
    </row>
    <row r="25" spans="1:11">
      <c r="D25" s="7"/>
      <c r="F25" s="63"/>
      <c r="G25" s="7"/>
    </row>
    <row r="26" spans="1:11">
      <c r="A26" s="47" t="s">
        <v>266</v>
      </c>
      <c r="D26" s="46">
        <v>581</v>
      </c>
      <c r="F26" s="63"/>
      <c r="G26" s="46">
        <v>0</v>
      </c>
    </row>
    <row r="27" spans="1:11">
      <c r="D27" s="46"/>
      <c r="F27" s="63"/>
      <c r="G27" s="46"/>
    </row>
    <row r="28" spans="1:11">
      <c r="A28" t="str">
        <f>RS!A30</f>
        <v>Big Sandy 1 Operations Rider</v>
      </c>
      <c r="C28" s="161">
        <v>4.4600000000000004E-3</v>
      </c>
      <c r="D28" s="46">
        <v>14192</v>
      </c>
      <c r="E28" s="20"/>
      <c r="F28" s="66"/>
      <c r="G28" s="46">
        <v>0</v>
      </c>
    </row>
    <row r="29" spans="1:11">
      <c r="D29" s="46"/>
      <c r="E29" s="20"/>
      <c r="F29" s="67"/>
      <c r="G29" s="46"/>
    </row>
    <row r="30" spans="1:11">
      <c r="A30" s="47" t="s">
        <v>265</v>
      </c>
      <c r="C30" s="163">
        <v>5.4338999999999998E-2</v>
      </c>
      <c r="D30" s="46">
        <v>16311</v>
      </c>
      <c r="E30" s="223"/>
      <c r="F30" s="80"/>
      <c r="G30" s="46">
        <v>0</v>
      </c>
    </row>
    <row r="31" spans="1:11">
      <c r="D31" s="46"/>
      <c r="E31" s="20"/>
      <c r="F31" s="59"/>
      <c r="G31" s="46"/>
    </row>
    <row r="32" spans="1:11">
      <c r="A32" s="12"/>
      <c r="B32" s="12"/>
      <c r="C32" s="12"/>
      <c r="D32" s="13"/>
      <c r="E32" s="209"/>
      <c r="F32" s="209"/>
      <c r="G32" s="13"/>
    </row>
    <row r="33" spans="1:7">
      <c r="A33" s="47" t="s">
        <v>261</v>
      </c>
      <c r="D33" s="7">
        <f>SUM(D13:D32)</f>
        <v>645228.47588384233</v>
      </c>
      <c r="G33" s="7">
        <f>SUM(G13:G32)</f>
        <v>610744.85228384228</v>
      </c>
    </row>
    <row r="35" spans="1:7">
      <c r="A35" t="s">
        <v>180</v>
      </c>
      <c r="B35" s="20"/>
      <c r="C35" s="165">
        <v>0.15</v>
      </c>
      <c r="D35" s="7">
        <f>C35*B20</f>
        <v>2589.6</v>
      </c>
      <c r="E35" s="20">
        <v>17570</v>
      </c>
      <c r="F35" s="67">
        <f>SGS!F34</f>
        <v>1</v>
      </c>
      <c r="G35" s="7">
        <f>+E35*F35</f>
        <v>17570</v>
      </c>
    </row>
    <row r="37" spans="1:7">
      <c r="A37" t="s">
        <v>286</v>
      </c>
      <c r="E37" s="74">
        <f>G33+G35-G24-G41</f>
        <v>519703.22720000008</v>
      </c>
      <c r="F37" s="195">
        <f>SGS!F36</f>
        <v>1.1413000000000001E-2</v>
      </c>
      <c r="G37" s="7">
        <f>+E37*F37</f>
        <v>5931.3729320336015</v>
      </c>
    </row>
    <row r="38" spans="1:7">
      <c r="A38" s="12"/>
      <c r="B38" s="12"/>
      <c r="C38" s="12"/>
      <c r="D38" s="12"/>
      <c r="E38" s="222"/>
      <c r="F38" s="209"/>
      <c r="G38" s="209"/>
    </row>
    <row r="39" spans="1:7">
      <c r="A39" t="s">
        <v>262</v>
      </c>
      <c r="D39" s="74">
        <f>SUM(D33:D38)</f>
        <v>647818.07588384231</v>
      </c>
      <c r="G39" s="74">
        <f>SUM(G33:G38)</f>
        <v>634246.22521587589</v>
      </c>
    </row>
    <row r="41" spans="1:7" ht="13">
      <c r="A41" s="187" t="s">
        <v>189</v>
      </c>
      <c r="B41" s="187"/>
      <c r="C41" s="187"/>
      <c r="D41" s="187"/>
      <c r="E41" s="188"/>
      <c r="F41" s="62">
        <f>SGS!$F$40</f>
        <v>2.725E-2</v>
      </c>
      <c r="G41" s="7">
        <f>E18*F41</f>
        <v>102593.416</v>
      </c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0"/>
  <sheetViews>
    <sheetView topLeftCell="A4" workbookViewId="0">
      <selection activeCell="F34" sqref="F34"/>
    </sheetView>
  </sheetViews>
  <sheetFormatPr defaultColWidth="9.1796875" defaultRowHeight="12.5"/>
  <cols>
    <col min="1" max="1" width="28.1796875" style="15" customWidth="1"/>
    <col min="2" max="2" width="9.1796875" style="15"/>
    <col min="3" max="3" width="13.26953125" style="15" customWidth="1"/>
    <col min="4" max="4" width="11.1796875" style="15" customWidth="1"/>
    <col min="5" max="5" width="14.7265625" style="79" customWidth="1"/>
    <col min="6" max="6" width="13.26953125" style="79" customWidth="1"/>
    <col min="7" max="7" width="13" style="79" customWidth="1"/>
    <col min="8" max="10" width="8.81640625" style="79" customWidth="1"/>
    <col min="11" max="16384" width="9.1796875" style="15"/>
  </cols>
  <sheetData>
    <row r="1" spans="1:7">
      <c r="A1" s="15" t="str">
        <f>+RS!A1</f>
        <v>KENTUCKY POWER BILLING ANALYSIS</v>
      </c>
    </row>
    <row r="2" spans="1:7">
      <c r="A2" s="15" t="str">
        <f>+RS!A2</f>
        <v>PROFORMA</v>
      </c>
    </row>
    <row r="3" spans="1:7">
      <c r="A3" s="15" t="str">
        <f>+RS!A3</f>
        <v>TEST YEAR ENDED FEBRUARY 28, 2017</v>
      </c>
    </row>
    <row r="5" spans="1:7">
      <c r="A5" s="15" t="s">
        <v>110</v>
      </c>
    </row>
    <row r="8" spans="1:7">
      <c r="B8" s="172" t="str">
        <f>+RS!B8</f>
        <v xml:space="preserve">Current </v>
      </c>
      <c r="C8" s="172"/>
      <c r="D8" s="172"/>
      <c r="E8" s="190" t="str">
        <f>+RS!E8</f>
        <v>Proposed</v>
      </c>
      <c r="F8" s="190"/>
      <c r="G8" s="190"/>
    </row>
    <row r="9" spans="1:7">
      <c r="B9" s="172" t="str">
        <f>+RS!B9</f>
        <v xml:space="preserve">Billing </v>
      </c>
      <c r="C9" s="172" t="str">
        <f>+RS!C9</f>
        <v>Current</v>
      </c>
      <c r="D9" s="172" t="str">
        <f>+RS!D9</f>
        <v>Current</v>
      </c>
      <c r="E9" s="190" t="str">
        <f>+RS!E9</f>
        <v xml:space="preserve">Billing </v>
      </c>
      <c r="F9" s="190" t="str">
        <f>+RS!F9</f>
        <v>Proposed</v>
      </c>
      <c r="G9" s="190" t="str">
        <f>+RS!G9</f>
        <v>Proposed</v>
      </c>
    </row>
    <row r="10" spans="1:7">
      <c r="B10" s="173" t="str">
        <f>+RS!B10</f>
        <v>Units</v>
      </c>
      <c r="C10" s="173" t="str">
        <f>+RS!C10</f>
        <v>Rate</v>
      </c>
      <c r="D10" s="173" t="str">
        <f>+RS!D10</f>
        <v>Revenue</v>
      </c>
      <c r="E10" s="191" t="str">
        <f>+RS!E10</f>
        <v>Units</v>
      </c>
      <c r="F10" s="191" t="str">
        <f>+RS!F10</f>
        <v>Rate</v>
      </c>
      <c r="G10" s="191" t="str">
        <f>+RS!G10</f>
        <v>Revenue</v>
      </c>
    </row>
    <row r="12" spans="1:7">
      <c r="A12" s="192" t="s">
        <v>8</v>
      </c>
    </row>
    <row r="13" spans="1:7">
      <c r="A13" s="15" t="s">
        <v>47</v>
      </c>
      <c r="B13" s="180">
        <v>116365</v>
      </c>
      <c r="C13" s="174">
        <v>0.14360000000000001</v>
      </c>
      <c r="D13" s="11">
        <f>+B13*C13</f>
        <v>16710.013999999999</v>
      </c>
      <c r="E13" s="77">
        <f>+B13</f>
        <v>116365</v>
      </c>
      <c r="F13" s="189">
        <f>'Rate Input'!C19</f>
        <v>0.16347999999999999</v>
      </c>
      <c r="G13" s="11">
        <f>+E13*F13</f>
        <v>19023.350199999997</v>
      </c>
    </row>
    <row r="14" spans="1:7">
      <c r="A14" s="15" t="s">
        <v>48</v>
      </c>
      <c r="B14" s="180">
        <v>188025</v>
      </c>
      <c r="C14" s="174">
        <v>5.0999999999999997E-2</v>
      </c>
      <c r="D14" s="11">
        <f>+B14*C14</f>
        <v>9589.2749999999996</v>
      </c>
      <c r="E14" s="77">
        <f>+B14</f>
        <v>188025</v>
      </c>
      <c r="F14" s="189">
        <f>'Rate Input'!C20</f>
        <v>6.3469999999999999E-2</v>
      </c>
      <c r="G14" s="11">
        <f>+E14*F14</f>
        <v>11933.946749999999</v>
      </c>
    </row>
    <row r="15" spans="1:7">
      <c r="C15" s="181"/>
      <c r="D15" s="11"/>
      <c r="E15" s="77"/>
      <c r="F15" s="183"/>
      <c r="G15" s="11"/>
    </row>
    <row r="16" spans="1:7">
      <c r="A16" s="15" t="s">
        <v>11</v>
      </c>
      <c r="B16" s="182">
        <f>SUM(B13:B14)</f>
        <v>304390</v>
      </c>
      <c r="C16" s="181"/>
      <c r="D16" s="11"/>
      <c r="E16" s="77">
        <f>+B16</f>
        <v>304390</v>
      </c>
      <c r="F16" s="183"/>
      <c r="G16" s="11"/>
    </row>
    <row r="17" spans="1:7">
      <c r="C17" s="181"/>
      <c r="D17" s="11"/>
      <c r="E17" s="77"/>
      <c r="F17" s="183"/>
      <c r="G17" s="11"/>
    </row>
    <row r="18" spans="1:7">
      <c r="A18" s="15" t="s">
        <v>12</v>
      </c>
      <c r="B18" s="180">
        <v>384</v>
      </c>
      <c r="C18" s="176">
        <v>17.5</v>
      </c>
      <c r="D18" s="11">
        <f>+B18*C18</f>
        <v>6720</v>
      </c>
      <c r="E18" s="77">
        <f>+B18</f>
        <v>384</v>
      </c>
      <c r="F18" s="193">
        <f>'Rate Input'!B18</f>
        <v>22.5</v>
      </c>
      <c r="G18" s="11">
        <f>+E18*F18</f>
        <v>8640</v>
      </c>
    </row>
    <row r="19" spans="1:7">
      <c r="C19" s="181"/>
      <c r="D19" s="11"/>
      <c r="F19" s="183"/>
      <c r="G19" s="11"/>
    </row>
    <row r="20" spans="1:7">
      <c r="A20" s="15" t="s">
        <v>13</v>
      </c>
      <c r="B20" s="180">
        <v>384</v>
      </c>
      <c r="C20" s="181"/>
      <c r="D20" s="11"/>
      <c r="E20" s="77">
        <f>+B20</f>
        <v>384</v>
      </c>
      <c r="F20" s="183"/>
      <c r="G20" s="11"/>
    </row>
    <row r="21" spans="1:7">
      <c r="C21" s="181"/>
      <c r="D21" s="11"/>
      <c r="F21" s="183"/>
      <c r="G21" s="11"/>
    </row>
    <row r="22" spans="1:7">
      <c r="A22" s="15" t="str">
        <f>+RS!A$25</f>
        <v xml:space="preserve">Fuel </v>
      </c>
      <c r="C22" s="177">
        <f>+RS!C25</f>
        <v>1.5985060633393854E-3</v>
      </c>
      <c r="D22" s="11">
        <f>+B16*C22</f>
        <v>486.56926061987554</v>
      </c>
      <c r="F22" s="60">
        <f>RS!$F$25</f>
        <v>1.5985060633393854E-3</v>
      </c>
      <c r="G22" s="11">
        <f>+E16*F22</f>
        <v>486.56926061987554</v>
      </c>
    </row>
    <row r="23" spans="1:7">
      <c r="D23" s="11"/>
      <c r="G23" s="11"/>
    </row>
    <row r="24" spans="1:7">
      <c r="A24" s="181" t="s">
        <v>263</v>
      </c>
      <c r="D24" s="186">
        <v>31</v>
      </c>
      <c r="G24" s="186">
        <v>0</v>
      </c>
    </row>
    <row r="25" spans="1:7">
      <c r="D25" s="186"/>
      <c r="G25" s="186"/>
    </row>
    <row r="26" spans="1:7">
      <c r="A26" s="15" t="str">
        <f>RS!A30</f>
        <v>Big Sandy 1 Operations Rider</v>
      </c>
      <c r="C26" s="168">
        <v>4.4600000000000004E-3</v>
      </c>
      <c r="D26" s="186">
        <v>1133</v>
      </c>
      <c r="E26" s="77"/>
      <c r="F26" s="189"/>
      <c r="G26" s="186">
        <v>0</v>
      </c>
    </row>
    <row r="27" spans="1:7">
      <c r="D27" s="186"/>
      <c r="E27" s="77"/>
      <c r="F27" s="194"/>
      <c r="G27" s="186"/>
    </row>
    <row r="28" spans="1:7">
      <c r="A28" s="15" t="str">
        <f>+RS!A$34</f>
        <v>Environmental Surcharge</v>
      </c>
      <c r="C28" s="178">
        <v>5.4338999999999998E-2</v>
      </c>
      <c r="D28" s="186">
        <v>830</v>
      </c>
      <c r="E28" s="11"/>
      <c r="F28" s="195"/>
      <c r="G28" s="186">
        <v>0</v>
      </c>
    </row>
    <row r="29" spans="1:7">
      <c r="D29" s="186"/>
      <c r="E29" s="77"/>
      <c r="F29" s="193"/>
      <c r="G29" s="186"/>
    </row>
    <row r="30" spans="1:7">
      <c r="A30" s="203"/>
      <c r="B30" s="203"/>
      <c r="C30" s="203"/>
      <c r="D30" s="214"/>
      <c r="E30" s="221"/>
      <c r="F30" s="221"/>
      <c r="G30" s="214"/>
    </row>
    <row r="31" spans="1:7">
      <c r="A31" s="181" t="s">
        <v>261</v>
      </c>
      <c r="D31" s="11">
        <f>SUM(D13:D30)</f>
        <v>35499.858260619876</v>
      </c>
      <c r="G31" s="11">
        <f>SUM(G13:G26)</f>
        <v>40083.866210619875</v>
      </c>
    </row>
    <row r="32" spans="1:7">
      <c r="A32" s="181"/>
      <c r="D32" s="11"/>
      <c r="G32" s="11"/>
    </row>
    <row r="33" spans="1:7">
      <c r="A33" s="15" t="s">
        <v>180</v>
      </c>
      <c r="C33" s="176">
        <v>0.15</v>
      </c>
      <c r="D33" s="11">
        <f>C33*B18</f>
        <v>57.599999999999994</v>
      </c>
      <c r="E33" s="77">
        <v>384</v>
      </c>
      <c r="F33" s="193">
        <f>'SGS-NM'!F35</f>
        <v>1</v>
      </c>
      <c r="G33" s="11">
        <f>+E33*F33</f>
        <v>384</v>
      </c>
    </row>
    <row r="35" spans="1:7">
      <c r="A35" t="s">
        <v>284</v>
      </c>
      <c r="E35" s="202">
        <f>G31+G33-G22-G40</f>
        <v>31686.669449999994</v>
      </c>
      <c r="F35" s="195">
        <f>SGS!F36</f>
        <v>1.1413000000000001E-2</v>
      </c>
      <c r="G35" s="11">
        <f>+E35*F35</f>
        <v>361.63995843284999</v>
      </c>
    </row>
    <row r="36" spans="1:7">
      <c r="A36" s="203"/>
      <c r="B36" s="203"/>
      <c r="C36" s="203"/>
      <c r="D36" s="203"/>
      <c r="E36" s="221"/>
      <c r="F36" s="221"/>
      <c r="G36" s="221"/>
    </row>
    <row r="37" spans="1:7">
      <c r="A37" s="181" t="s">
        <v>262</v>
      </c>
      <c r="D37" s="11">
        <f>SUM(D31:D36)</f>
        <v>35557.458260619875</v>
      </c>
      <c r="F37" s="60"/>
      <c r="G37" s="11">
        <f>SUM(G31:G36)</f>
        <v>40829.506169052722</v>
      </c>
    </row>
    <row r="40" spans="1:7">
      <c r="A40" s="181" t="s">
        <v>189</v>
      </c>
      <c r="B40" s="181"/>
      <c r="C40" s="181"/>
      <c r="D40" s="181"/>
      <c r="E40" s="218"/>
      <c r="F40" s="62">
        <f>SGS!$F$40</f>
        <v>2.725E-2</v>
      </c>
      <c r="G40" s="11">
        <f>E16*F40</f>
        <v>8294.6275000000005</v>
      </c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9"/>
  <sheetViews>
    <sheetView topLeftCell="A4" workbookViewId="0">
      <selection activeCell="F33" sqref="F33"/>
    </sheetView>
  </sheetViews>
  <sheetFormatPr defaultRowHeight="12.5"/>
  <cols>
    <col min="1" max="1" width="25.453125" customWidth="1"/>
    <col min="2" max="2" width="11.26953125" customWidth="1"/>
    <col min="3" max="4" width="11.81640625" customWidth="1"/>
    <col min="5" max="5" width="16.26953125" style="16" customWidth="1"/>
    <col min="6" max="6" width="14" style="16" customWidth="1"/>
    <col min="7" max="7" width="13.7265625" style="16" customWidth="1"/>
    <col min="8" max="8" width="10.26953125" style="16" bestFit="1" customWidth="1"/>
    <col min="9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111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21</v>
      </c>
      <c r="B13" s="61">
        <v>307805</v>
      </c>
      <c r="C13" s="164">
        <v>0.15955</v>
      </c>
      <c r="D13" s="7">
        <f>+B13*C13</f>
        <v>49110.287749999996</v>
      </c>
      <c r="E13" s="20">
        <f>+B13</f>
        <v>307805</v>
      </c>
      <c r="F13" s="66">
        <f>SGSLMTOD!F13</f>
        <v>0.16347999999999999</v>
      </c>
      <c r="G13" s="11">
        <f>+E13*F13</f>
        <v>50319.961399999993</v>
      </c>
    </row>
    <row r="14" spans="1:7">
      <c r="A14" t="s">
        <v>22</v>
      </c>
      <c r="B14" s="61">
        <v>505299</v>
      </c>
      <c r="C14" s="164">
        <v>5.3409999999999999E-2</v>
      </c>
      <c r="D14" s="7">
        <f>+B14*C14</f>
        <v>26988.01959</v>
      </c>
      <c r="E14" s="20">
        <f>+B14</f>
        <v>505299</v>
      </c>
      <c r="F14" s="66">
        <f>SGSLMTOD!F14</f>
        <v>6.3469999999999999E-2</v>
      </c>
      <c r="G14" s="11">
        <f>+E14*F14</f>
        <v>32071.327529999999</v>
      </c>
    </row>
    <row r="15" spans="1:7">
      <c r="B15" s="4"/>
      <c r="C15" s="47"/>
      <c r="D15" s="7"/>
      <c r="E15" s="20"/>
      <c r="F15" s="58"/>
      <c r="G15" s="11"/>
    </row>
    <row r="16" spans="1:7">
      <c r="A16" t="s">
        <v>11</v>
      </c>
      <c r="B16" s="4">
        <f>SUM(B13:B14)</f>
        <v>813104</v>
      </c>
      <c r="C16" s="47"/>
      <c r="D16" s="7"/>
      <c r="E16" s="20">
        <f>+B16</f>
        <v>813104</v>
      </c>
      <c r="F16" s="58"/>
      <c r="G16" s="11"/>
    </row>
    <row r="17" spans="1:7">
      <c r="B17" s="4"/>
      <c r="C17" s="47"/>
      <c r="D17" s="7"/>
      <c r="E17" s="20"/>
      <c r="F17" s="58"/>
      <c r="G17" s="11"/>
    </row>
    <row r="18" spans="1:7">
      <c r="A18" t="s">
        <v>12</v>
      </c>
      <c r="B18" s="61">
        <v>553</v>
      </c>
      <c r="C18" s="165">
        <v>3.75</v>
      </c>
      <c r="D18" s="7">
        <f>+B18*C18</f>
        <v>2073.75</v>
      </c>
      <c r="E18" s="20">
        <f>+B18</f>
        <v>553</v>
      </c>
      <c r="F18" s="67">
        <f>SGSLMTOD!F18</f>
        <v>22.5</v>
      </c>
      <c r="G18" s="11">
        <f>+E18*F18</f>
        <v>12442.5</v>
      </c>
    </row>
    <row r="19" spans="1:7">
      <c r="B19" s="61"/>
      <c r="C19" s="47"/>
      <c r="D19" s="7"/>
      <c r="E19" s="20"/>
      <c r="F19" s="58"/>
      <c r="G19" s="7"/>
    </row>
    <row r="20" spans="1:7">
      <c r="A20" t="s">
        <v>13</v>
      </c>
      <c r="B20" s="61">
        <v>552</v>
      </c>
      <c r="C20" s="47"/>
      <c r="D20" s="7"/>
      <c r="E20" s="20">
        <f>+B20</f>
        <v>552</v>
      </c>
      <c r="F20" s="58"/>
      <c r="G20" s="7"/>
    </row>
    <row r="21" spans="1:7">
      <c r="C21" s="47"/>
      <c r="D21" s="7"/>
      <c r="E21" s="20"/>
      <c r="F21" s="58"/>
      <c r="G21" s="7"/>
    </row>
    <row r="22" spans="1:7">
      <c r="A22" t="str">
        <f>+RS!A$25</f>
        <v xml:space="preserve">Fuel </v>
      </c>
      <c r="C22" s="177">
        <f>+RS!C25</f>
        <v>1.5985060633393854E-3</v>
      </c>
      <c r="D22" s="7">
        <f>+B16*C22</f>
        <v>1299.7516741255076</v>
      </c>
      <c r="F22" s="62">
        <f>+RS!F25</f>
        <v>1.5985060633393854E-3</v>
      </c>
      <c r="G22" s="7">
        <f>+E16*F22</f>
        <v>1299.7516741255076</v>
      </c>
    </row>
    <row r="23" spans="1:7">
      <c r="C23" s="47"/>
      <c r="D23" s="7"/>
      <c r="F23" s="58"/>
      <c r="G23" s="7"/>
    </row>
    <row r="24" spans="1:7">
      <c r="A24" s="47" t="s">
        <v>263</v>
      </c>
      <c r="D24" s="46">
        <v>84</v>
      </c>
      <c r="G24" s="46">
        <v>0</v>
      </c>
    </row>
    <row r="25" spans="1:7">
      <c r="D25" s="46"/>
      <c r="E25" s="20"/>
      <c r="F25" s="67"/>
      <c r="G25" s="46"/>
    </row>
    <row r="26" spans="1:7">
      <c r="A26" t="str">
        <f>RS!A30</f>
        <v>Big Sandy 1 Operations Rider</v>
      </c>
      <c r="C26" s="164">
        <v>4.7099999999999998E-3</v>
      </c>
      <c r="D26" s="46">
        <v>3279</v>
      </c>
      <c r="E26" s="20"/>
      <c r="F26" s="66"/>
      <c r="G26" s="46">
        <v>0</v>
      </c>
    </row>
    <row r="27" spans="1:7">
      <c r="D27" s="46"/>
      <c r="E27" s="20"/>
      <c r="F27" s="67"/>
      <c r="G27" s="46"/>
    </row>
    <row r="28" spans="1:7">
      <c r="A28" t="str">
        <f>+RS!A$34</f>
        <v>Environmental Surcharge</v>
      </c>
      <c r="C28" s="163">
        <v>5.4338999999999998E-2</v>
      </c>
      <c r="D28" s="46">
        <v>1963</v>
      </c>
      <c r="E28" s="201"/>
      <c r="F28" s="80"/>
      <c r="G28" s="46">
        <v>0</v>
      </c>
    </row>
    <row r="29" spans="1:7">
      <c r="A29" s="12"/>
      <c r="B29" s="12"/>
      <c r="C29" s="12"/>
      <c r="D29" s="207"/>
      <c r="E29" s="205"/>
      <c r="F29" s="206"/>
      <c r="G29" s="207"/>
    </row>
    <row r="30" spans="1:7">
      <c r="A30" s="47" t="s">
        <v>264</v>
      </c>
      <c r="D30" s="7">
        <f>SUM(D13:D28)</f>
        <v>84797.809014125509</v>
      </c>
      <c r="G30" s="7">
        <f>SUM(G13:G29)</f>
        <v>96133.540604125505</v>
      </c>
    </row>
    <row r="33" spans="1:7">
      <c r="A33" t="s">
        <v>180</v>
      </c>
      <c r="C33" s="165">
        <v>0.15</v>
      </c>
      <c r="D33" s="7">
        <f>C33*B18</f>
        <v>82.95</v>
      </c>
      <c r="E33" s="20">
        <f>E18</f>
        <v>553</v>
      </c>
      <c r="F33" s="67">
        <f>SGS!F34</f>
        <v>1</v>
      </c>
      <c r="G33" s="7">
        <f>+E33*F33</f>
        <v>553</v>
      </c>
    </row>
    <row r="35" spans="1:7">
      <c r="A35" t="s">
        <v>284</v>
      </c>
      <c r="E35" s="74">
        <f>G30+G33-G22-G39</f>
        <v>73229.704929999993</v>
      </c>
      <c r="F35" s="195">
        <f>SGS!F36</f>
        <v>1.1413000000000001E-2</v>
      </c>
      <c r="G35" s="7">
        <f>+E35*F35</f>
        <v>835.77062236609004</v>
      </c>
    </row>
    <row r="36" spans="1:7">
      <c r="A36" s="12"/>
      <c r="B36" s="12"/>
      <c r="C36" s="12"/>
      <c r="D36" s="12"/>
      <c r="E36" s="209"/>
      <c r="F36" s="209"/>
      <c r="G36" s="209"/>
    </row>
    <row r="37" spans="1:7">
      <c r="A37" t="s">
        <v>262</v>
      </c>
      <c r="D37" s="74">
        <f>SUM(D30:D36)</f>
        <v>84880.759014125506</v>
      </c>
      <c r="G37" s="74">
        <f>SUM(G30:G36)</f>
        <v>97522.311226491598</v>
      </c>
    </row>
    <row r="39" spans="1:7">
      <c r="A39" s="47" t="s">
        <v>189</v>
      </c>
      <c r="F39" s="62">
        <f>SGS!$F$40</f>
        <v>2.725E-2</v>
      </c>
      <c r="G39" s="7">
        <f>+E16*F39</f>
        <v>22157.083999999999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9"/>
  <sheetViews>
    <sheetView workbookViewId="0">
      <selection activeCell="F33" sqref="F33"/>
    </sheetView>
  </sheetViews>
  <sheetFormatPr defaultRowHeight="12.5"/>
  <cols>
    <col min="1" max="1" width="27.1796875" customWidth="1"/>
    <col min="3" max="3" width="12.453125" customWidth="1"/>
    <col min="4" max="4" width="11.1796875" customWidth="1"/>
    <col min="5" max="5" width="16.26953125" style="16" customWidth="1"/>
    <col min="6" max="6" width="13.7265625" style="16" customWidth="1"/>
    <col min="7" max="7" width="11.81640625" style="16" customWidth="1"/>
    <col min="8" max="9" width="8.81640625" style="16" customWidth="1"/>
    <col min="10" max="10" width="15" style="16" bestFit="1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289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113</v>
      </c>
      <c r="B13" s="61">
        <v>92802</v>
      </c>
      <c r="C13" s="161">
        <v>0.11395</v>
      </c>
      <c r="D13" s="7">
        <f>+B13*C13</f>
        <v>10574.787899999999</v>
      </c>
      <c r="E13" s="20">
        <f>+B13</f>
        <v>92802</v>
      </c>
      <c r="F13" s="56">
        <f>'Rate Input'!C22</f>
        <v>0.19541</v>
      </c>
      <c r="G13" s="11">
        <f>+E13*F13</f>
        <v>18134.438819999999</v>
      </c>
    </row>
    <row r="14" spans="1:7">
      <c r="A14" t="s">
        <v>114</v>
      </c>
      <c r="B14" s="61">
        <v>93947</v>
      </c>
      <c r="C14" s="161">
        <v>0.12315</v>
      </c>
      <c r="D14" s="7">
        <f>+B14*C14</f>
        <v>11569.573049999999</v>
      </c>
      <c r="E14" s="20">
        <f>+B14</f>
        <v>93947</v>
      </c>
      <c r="F14" s="56">
        <f>'Rate Input'!C23</f>
        <v>0.15991</v>
      </c>
      <c r="G14" s="11">
        <f>+E14*F14</f>
        <v>15023.064769999999</v>
      </c>
    </row>
    <row r="15" spans="1:7">
      <c r="A15" t="s">
        <v>48</v>
      </c>
      <c r="B15" s="61">
        <v>524380</v>
      </c>
      <c r="C15" s="161">
        <v>8.6669999999999997E-2</v>
      </c>
      <c r="D15" s="7">
        <f>+B15*C15</f>
        <v>45448.014599999995</v>
      </c>
      <c r="E15" s="20">
        <f>+B15</f>
        <v>524380</v>
      </c>
      <c r="F15" s="56">
        <f>'Rate Input'!C24</f>
        <v>8.0879999999999994E-2</v>
      </c>
      <c r="G15" s="11">
        <f>+E15*F15</f>
        <v>42411.854399999997</v>
      </c>
    </row>
    <row r="16" spans="1:7">
      <c r="C16" s="47"/>
      <c r="D16" s="7"/>
      <c r="E16" s="20"/>
      <c r="F16" s="58"/>
      <c r="G16" s="11"/>
    </row>
    <row r="17" spans="1:7">
      <c r="A17" t="s">
        <v>11</v>
      </c>
      <c r="B17" s="61">
        <v>711130</v>
      </c>
      <c r="C17" s="47"/>
      <c r="D17" s="7"/>
      <c r="E17" s="20">
        <f>+B17</f>
        <v>711130</v>
      </c>
      <c r="F17" s="58"/>
      <c r="G17" s="11"/>
    </row>
    <row r="18" spans="1:7">
      <c r="C18" s="47"/>
      <c r="D18" s="7"/>
      <c r="E18" s="20"/>
      <c r="F18" s="58"/>
      <c r="G18" s="11"/>
    </row>
    <row r="19" spans="1:7">
      <c r="A19" t="s">
        <v>12</v>
      </c>
      <c r="B19" s="61">
        <v>2170</v>
      </c>
      <c r="C19" s="162">
        <v>17.5</v>
      </c>
      <c r="D19" s="7">
        <f>+B19*C19</f>
        <v>37975</v>
      </c>
      <c r="E19" s="20">
        <f>+B19</f>
        <v>2170</v>
      </c>
      <c r="F19" s="59">
        <f>'Rate Input'!B21</f>
        <v>22.5</v>
      </c>
      <c r="G19" s="11">
        <f>+E19*F19</f>
        <v>48825</v>
      </c>
    </row>
    <row r="20" spans="1:7">
      <c r="B20" s="58"/>
      <c r="C20" s="47"/>
      <c r="D20" s="7"/>
      <c r="E20" s="20"/>
      <c r="F20" s="58"/>
      <c r="G20" s="7"/>
    </row>
    <row r="21" spans="1:7">
      <c r="A21" t="s">
        <v>13</v>
      </c>
      <c r="B21" s="61">
        <v>2172</v>
      </c>
      <c r="C21" s="47"/>
      <c r="D21" s="7"/>
      <c r="E21" s="20">
        <f>+B21</f>
        <v>2172</v>
      </c>
      <c r="F21" s="58"/>
      <c r="G21" s="7"/>
    </row>
    <row r="22" spans="1:7">
      <c r="C22" s="47"/>
      <c r="D22" s="7"/>
      <c r="F22" s="58"/>
      <c r="G22" s="7"/>
    </row>
    <row r="23" spans="1:7">
      <c r="A23" t="str">
        <f>+RS!A$25</f>
        <v xml:space="preserve">Fuel </v>
      </c>
      <c r="C23" s="177">
        <f>+RS!C25</f>
        <v>1.5985060633393854E-3</v>
      </c>
      <c r="D23" s="7">
        <f>+B17*C23</f>
        <v>1136.7456168225372</v>
      </c>
      <c r="F23" s="62">
        <f>RS!$F$25</f>
        <v>1.5985060633393854E-3</v>
      </c>
      <c r="G23" s="7">
        <f>+E17*F23</f>
        <v>1136.7456168225372</v>
      </c>
    </row>
    <row r="24" spans="1:7">
      <c r="D24" s="7"/>
      <c r="F24" s="63"/>
      <c r="G24" s="7"/>
    </row>
    <row r="25" spans="1:7">
      <c r="A25" s="181" t="s">
        <v>263</v>
      </c>
      <c r="D25" s="46">
        <v>94</v>
      </c>
      <c r="F25" s="63"/>
      <c r="G25" s="46">
        <v>0</v>
      </c>
    </row>
    <row r="26" spans="1:7">
      <c r="D26" s="46"/>
      <c r="F26" s="63"/>
      <c r="G26" s="46"/>
    </row>
    <row r="27" spans="1:7">
      <c r="A27" t="str">
        <f>RS!A30</f>
        <v>Big Sandy 1 Operations Rider</v>
      </c>
      <c r="C27" s="161">
        <v>4.4600000000000004E-3</v>
      </c>
      <c r="D27" s="46">
        <v>2672</v>
      </c>
      <c r="E27" s="20"/>
      <c r="F27" s="63"/>
      <c r="G27" s="46">
        <v>0</v>
      </c>
    </row>
    <row r="28" spans="1:7">
      <c r="D28" s="46"/>
      <c r="E28" s="20"/>
      <c r="F28" s="59"/>
      <c r="G28" s="46"/>
    </row>
    <row r="29" spans="1:7">
      <c r="A29" t="str">
        <f>+RS!A$34</f>
        <v>Environmental Surcharge</v>
      </c>
      <c r="C29" s="163">
        <v>5.4338999999999998E-2</v>
      </c>
      <c r="D29" s="46">
        <v>2842</v>
      </c>
      <c r="E29" s="74"/>
      <c r="F29" s="80"/>
      <c r="G29" s="46">
        <v>0</v>
      </c>
    </row>
    <row r="30" spans="1:7">
      <c r="A30" s="12"/>
      <c r="B30" s="12"/>
      <c r="C30" s="12"/>
      <c r="D30" s="207"/>
      <c r="E30" s="205"/>
      <c r="F30" s="206"/>
      <c r="G30" s="207"/>
    </row>
    <row r="31" spans="1:7">
      <c r="A31" s="47" t="s">
        <v>264</v>
      </c>
      <c r="D31" s="7">
        <f>SUM(D13:D30)</f>
        <v>112312.12116682253</v>
      </c>
      <c r="G31" s="7">
        <f>SUM(G13:G30)</f>
        <v>125531.10360682252</v>
      </c>
    </row>
    <row r="32" spans="1:7">
      <c r="A32" s="47"/>
      <c r="C32" s="15"/>
      <c r="F32" s="62"/>
      <c r="G32" s="7"/>
    </row>
    <row r="33" spans="1:7">
      <c r="A33" t="s">
        <v>180</v>
      </c>
      <c r="C33" s="162">
        <v>0.15</v>
      </c>
      <c r="D33" s="46">
        <f>C33*B19</f>
        <v>325.5</v>
      </c>
      <c r="E33" s="20">
        <f>E19</f>
        <v>2170</v>
      </c>
      <c r="F33" s="59">
        <f>SGS!F34</f>
        <v>1</v>
      </c>
      <c r="G33" s="7">
        <f>+E33*F33</f>
        <v>2170</v>
      </c>
    </row>
    <row r="35" spans="1:7">
      <c r="A35" t="s">
        <v>284</v>
      </c>
      <c r="E35" s="74">
        <f>G31+G33-G23-G39</f>
        <v>107186.06548999999</v>
      </c>
      <c r="F35" s="195">
        <f>SGS!F36</f>
        <v>1.1413000000000001E-2</v>
      </c>
      <c r="G35" s="7">
        <f>+E35*F35</f>
        <v>1223.31456543737</v>
      </c>
    </row>
    <row r="36" spans="1:7">
      <c r="A36" s="12"/>
      <c r="B36" s="12"/>
      <c r="C36" s="12"/>
      <c r="D36" s="12"/>
      <c r="E36" s="222"/>
      <c r="F36" s="209"/>
      <c r="G36" s="209"/>
    </row>
    <row r="37" spans="1:7">
      <c r="A37" t="s">
        <v>262</v>
      </c>
      <c r="D37" s="74">
        <f>SUM(D31:D36)</f>
        <v>112637.62116682253</v>
      </c>
      <c r="G37" s="74">
        <f>SUM(G31:G36)</f>
        <v>128924.41817225989</v>
      </c>
    </row>
    <row r="39" spans="1:7">
      <c r="A39" s="181" t="s">
        <v>189</v>
      </c>
      <c r="B39" s="181"/>
      <c r="C39" s="181"/>
      <c r="D39" s="181"/>
      <c r="E39" s="218"/>
      <c r="F39" s="62">
        <f>SGS!$F$40</f>
        <v>2.725E-2</v>
      </c>
      <c r="G39" s="7">
        <f>E17*F39</f>
        <v>19378.2925</v>
      </c>
    </row>
  </sheetData>
  <pageMargins left="0.75" right="0.75" top="1" bottom="1" header="0.5" footer="0.5"/>
  <pageSetup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0"/>
  <sheetViews>
    <sheetView topLeftCell="A16" workbookViewId="0">
      <selection activeCell="F44" sqref="F44"/>
    </sheetView>
  </sheetViews>
  <sheetFormatPr defaultRowHeight="12.5"/>
  <cols>
    <col min="1" max="1" width="44.26953125" customWidth="1"/>
    <col min="2" max="2" width="15" customWidth="1"/>
    <col min="3" max="3" width="14.1796875" customWidth="1"/>
    <col min="4" max="4" width="15.1796875" customWidth="1"/>
    <col min="5" max="5" width="16.26953125" style="16" customWidth="1"/>
    <col min="6" max="6" width="12.26953125" style="16" customWidth="1"/>
    <col min="7" max="7" width="15.72656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102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53</v>
      </c>
      <c r="B13" s="61">
        <v>287409659</v>
      </c>
      <c r="C13" s="164">
        <v>0.10198</v>
      </c>
      <c r="D13" s="7">
        <f>+B13*C13</f>
        <v>29310037.02482</v>
      </c>
      <c r="E13" s="20"/>
      <c r="F13" s="66"/>
      <c r="G13" s="7"/>
    </row>
    <row r="14" spans="1:7">
      <c r="A14" t="s">
        <v>54</v>
      </c>
      <c r="B14" s="61">
        <v>151039043</v>
      </c>
      <c r="C14" s="164">
        <v>8.7359999999999993E-2</v>
      </c>
      <c r="D14" s="7">
        <f>+B14*C14</f>
        <v>13194770.796479998</v>
      </c>
      <c r="E14" s="20"/>
      <c r="F14" s="66"/>
      <c r="G14" s="7"/>
    </row>
    <row r="15" spans="1:7">
      <c r="A15" t="s">
        <v>55</v>
      </c>
      <c r="B15" s="61">
        <v>0</v>
      </c>
      <c r="C15" s="65"/>
      <c r="D15" s="7"/>
      <c r="E15" s="20"/>
      <c r="F15" s="67"/>
      <c r="G15" s="7"/>
    </row>
    <row r="16" spans="1:7">
      <c r="A16" t="s">
        <v>11</v>
      </c>
      <c r="B16" s="4">
        <f>SUM(B13:B15)</f>
        <v>438448702</v>
      </c>
      <c r="C16" s="65"/>
      <c r="D16" s="7"/>
      <c r="E16" s="20">
        <f>SUM(E17:E18)</f>
        <v>438448702</v>
      </c>
      <c r="F16" s="67"/>
      <c r="G16" s="7"/>
    </row>
    <row r="17" spans="1:7">
      <c r="A17" s="47" t="s">
        <v>282</v>
      </c>
      <c r="B17" s="4"/>
      <c r="C17" s="65"/>
      <c r="D17" s="7"/>
      <c r="E17" s="61">
        <v>230471543</v>
      </c>
      <c r="F17" s="56">
        <f>SGS!F15</f>
        <v>9.8650000000000002E-2</v>
      </c>
      <c r="G17" s="11">
        <f t="shared" ref="G17:G18" si="0">+E17*F17</f>
        <v>22736017.716949999</v>
      </c>
    </row>
    <row r="18" spans="1:7">
      <c r="A18" s="47" t="s">
        <v>283</v>
      </c>
      <c r="B18" s="4"/>
      <c r="C18" s="65"/>
      <c r="D18" s="7"/>
      <c r="E18" s="61">
        <v>207977159</v>
      </c>
      <c r="F18" s="56">
        <f>SGS!F16</f>
        <v>9.8970000000000002E-2</v>
      </c>
      <c r="G18" s="11">
        <f t="shared" si="0"/>
        <v>20583499.426230002</v>
      </c>
    </row>
    <row r="19" spans="1:7">
      <c r="B19" s="4"/>
      <c r="C19" s="65"/>
      <c r="D19" s="7"/>
      <c r="E19" s="20"/>
      <c r="F19" s="67"/>
      <c r="G19" s="7"/>
    </row>
    <row r="20" spans="1:7">
      <c r="C20" s="65"/>
      <c r="D20" s="7"/>
      <c r="E20" s="20"/>
      <c r="F20" s="67"/>
      <c r="G20" s="7"/>
    </row>
    <row r="21" spans="1:7">
      <c r="A21" t="s">
        <v>56</v>
      </c>
      <c r="C21" s="65"/>
      <c r="D21" s="7"/>
      <c r="E21" s="20"/>
      <c r="F21" s="67"/>
      <c r="G21" s="7"/>
    </row>
    <row r="22" spans="1:7">
      <c r="A22" t="s">
        <v>57</v>
      </c>
      <c r="B22" s="61">
        <v>1854278</v>
      </c>
      <c r="C22" s="165">
        <v>1.91</v>
      </c>
      <c r="D22" s="7">
        <f>+B22*C22</f>
        <v>3541670.98</v>
      </c>
      <c r="E22" s="20"/>
      <c r="F22" s="67"/>
      <c r="G22" s="7"/>
    </row>
    <row r="23" spans="1:7">
      <c r="A23" t="s">
        <v>58</v>
      </c>
      <c r="B23" s="61">
        <v>0</v>
      </c>
      <c r="C23" s="165">
        <v>7.95</v>
      </c>
      <c r="D23" s="7">
        <f>+B23*C23</f>
        <v>0</v>
      </c>
      <c r="E23" s="20"/>
      <c r="F23" s="67"/>
      <c r="G23" s="7"/>
    </row>
    <row r="24" spans="1:7">
      <c r="B24" s="61"/>
      <c r="C24" s="165"/>
      <c r="D24" s="7"/>
      <c r="E24" s="20"/>
      <c r="F24" s="67"/>
      <c r="G24" s="7"/>
    </row>
    <row r="25" spans="1:7">
      <c r="A25" t="s">
        <v>291</v>
      </c>
      <c r="B25" s="61"/>
      <c r="C25" s="165"/>
      <c r="D25" s="7"/>
      <c r="E25" s="61">
        <v>743810</v>
      </c>
      <c r="F25" s="67"/>
      <c r="G25" s="7"/>
    </row>
    <row r="26" spans="1:7">
      <c r="A26" t="s">
        <v>290</v>
      </c>
      <c r="B26" s="61"/>
      <c r="C26" s="165"/>
      <c r="D26" s="7"/>
      <c r="E26" s="61">
        <v>1110468</v>
      </c>
      <c r="F26" s="67">
        <f>'Rate Input'!D26</f>
        <v>7.97</v>
      </c>
      <c r="G26" s="7">
        <f t="shared" ref="G26" si="1">+E26*F26</f>
        <v>8850429.959999999</v>
      </c>
    </row>
    <row r="27" spans="1:7">
      <c r="B27" s="58"/>
      <c r="C27" s="65"/>
      <c r="D27" s="7"/>
      <c r="E27" s="20"/>
      <c r="F27" s="67"/>
      <c r="G27" s="7"/>
    </row>
    <row r="28" spans="1:7">
      <c r="A28" t="s">
        <v>12</v>
      </c>
      <c r="B28" s="61">
        <v>78086</v>
      </c>
      <c r="C28" s="165">
        <v>17.5</v>
      </c>
      <c r="D28" s="7">
        <f>+B28*C28</f>
        <v>1366505</v>
      </c>
      <c r="E28" s="20">
        <f>B28</f>
        <v>78086</v>
      </c>
      <c r="F28" s="67">
        <f>SGS!F20</f>
        <v>22.5</v>
      </c>
      <c r="G28" s="7">
        <f>+E28*F28</f>
        <v>1756935</v>
      </c>
    </row>
    <row r="29" spans="1:7">
      <c r="B29" s="58"/>
      <c r="C29" s="5"/>
      <c r="D29" s="7"/>
      <c r="E29" s="20"/>
      <c r="F29" s="67"/>
      <c r="G29" s="7"/>
    </row>
    <row r="30" spans="1:7">
      <c r="A30" t="s">
        <v>13</v>
      </c>
      <c r="B30" s="61">
        <v>78048</v>
      </c>
      <c r="C30" s="5"/>
      <c r="D30" s="7"/>
      <c r="E30" s="20">
        <f>B30</f>
        <v>78048</v>
      </c>
      <c r="F30" s="67"/>
      <c r="G30" s="7"/>
    </row>
    <row r="31" spans="1:7">
      <c r="C31" s="5"/>
      <c r="D31" s="7"/>
      <c r="E31" s="20"/>
      <c r="F31" s="67"/>
      <c r="G31" s="7"/>
    </row>
    <row r="32" spans="1:7">
      <c r="A32" t="str">
        <f>+RS!A$25</f>
        <v xml:space="preserve">Fuel </v>
      </c>
      <c r="C32" s="217">
        <f>+RS!C25</f>
        <v>1.5985060633393854E-3</v>
      </c>
      <c r="D32" s="7">
        <f>+B16*C32</f>
        <v>700862.90861028328</v>
      </c>
      <c r="F32" s="62">
        <f>+RS!F25</f>
        <v>1.5985060633393854E-3</v>
      </c>
      <c r="G32" s="7">
        <f>+E16*F32</f>
        <v>700862.90861028328</v>
      </c>
    </row>
    <row r="33" spans="1:10">
      <c r="C33" s="6"/>
      <c r="D33" s="7"/>
      <c r="F33" s="17"/>
      <c r="G33" s="7"/>
    </row>
    <row r="34" spans="1:10">
      <c r="A34" s="47" t="s">
        <v>263</v>
      </c>
      <c r="D34" s="46">
        <v>44180</v>
      </c>
      <c r="G34" s="46">
        <v>0</v>
      </c>
    </row>
    <row r="35" spans="1:10">
      <c r="D35" s="46"/>
      <c r="E35" s="20"/>
      <c r="F35" s="67"/>
      <c r="G35" s="46"/>
    </row>
    <row r="36" spans="1:10" s="15" customFormat="1">
      <c r="A36" s="181" t="s">
        <v>185</v>
      </c>
      <c r="C36" s="174">
        <v>1.42E-3</v>
      </c>
      <c r="D36" s="186">
        <v>620780</v>
      </c>
      <c r="E36" s="77"/>
      <c r="F36" s="196"/>
      <c r="G36" s="46">
        <v>0</v>
      </c>
      <c r="H36" s="79"/>
      <c r="I36" s="79"/>
      <c r="J36" s="79"/>
    </row>
    <row r="37" spans="1:10">
      <c r="C37" s="14"/>
      <c r="D37" s="46"/>
      <c r="E37" s="20"/>
      <c r="F37" s="67"/>
      <c r="G37" s="46"/>
    </row>
    <row r="38" spans="1:10">
      <c r="A38" s="47" t="s">
        <v>186</v>
      </c>
      <c r="C38" s="162">
        <v>0.72</v>
      </c>
      <c r="D38" s="46">
        <v>1032559</v>
      </c>
      <c r="E38" s="20"/>
      <c r="F38" s="67"/>
      <c r="G38" s="46">
        <v>0</v>
      </c>
    </row>
    <row r="39" spans="1:10">
      <c r="D39" s="46"/>
      <c r="E39" s="20"/>
      <c r="F39" s="67"/>
      <c r="G39" s="46"/>
    </row>
    <row r="40" spans="1:10">
      <c r="A40" s="47" t="s">
        <v>265</v>
      </c>
      <c r="C40" s="163">
        <v>5.4338999999999998E-2</v>
      </c>
      <c r="D40" s="46">
        <v>1191595</v>
      </c>
      <c r="E40" s="223"/>
      <c r="F40" s="80"/>
      <c r="G40" s="46">
        <v>0</v>
      </c>
    </row>
    <row r="41" spans="1:10">
      <c r="A41" s="12"/>
      <c r="B41" s="12"/>
      <c r="C41" s="12"/>
      <c r="D41" s="207"/>
      <c r="E41" s="205"/>
      <c r="F41" s="206"/>
      <c r="G41" s="207"/>
    </row>
    <row r="42" spans="1:10">
      <c r="A42" s="47" t="s">
        <v>261</v>
      </c>
      <c r="D42" s="7">
        <f>SUM(D12:D41)</f>
        <v>51002960.709910281</v>
      </c>
      <c r="G42" s="7">
        <f>SUM(G12:G41)</f>
        <v>54627745.011790283</v>
      </c>
    </row>
    <row r="44" spans="1:10">
      <c r="A44" t="s">
        <v>180</v>
      </c>
      <c r="C44">
        <v>0.15</v>
      </c>
      <c r="D44" s="186">
        <f>C44*B28</f>
        <v>11712.9</v>
      </c>
      <c r="E44" s="20">
        <f>E28</f>
        <v>78086</v>
      </c>
      <c r="F44" s="67">
        <f>SGS!F34</f>
        <v>1</v>
      </c>
      <c r="G44" s="7">
        <f>+E44*F44</f>
        <v>78086</v>
      </c>
    </row>
    <row r="46" spans="1:10">
      <c r="A46" t="s">
        <v>286</v>
      </c>
      <c r="E46" s="74">
        <f>G42+G44-G32-G50</f>
        <v>42057240.973679997</v>
      </c>
      <c r="F46" s="195">
        <f>SGS!F36</f>
        <v>1.1413000000000001E-2</v>
      </c>
      <c r="G46" s="7">
        <f>+E46*F46</f>
        <v>479999.29123260989</v>
      </c>
    </row>
    <row r="47" spans="1:10">
      <c r="A47" s="12"/>
      <c r="B47" s="12"/>
      <c r="C47" s="12"/>
      <c r="D47" s="12"/>
      <c r="E47" s="222"/>
      <c r="F47" s="209"/>
      <c r="G47" s="209"/>
    </row>
    <row r="48" spans="1:10">
      <c r="A48" t="s">
        <v>262</v>
      </c>
      <c r="D48" s="74">
        <f>SUM(D42:D47)</f>
        <v>51014673.60991028</v>
      </c>
      <c r="E48" s="74"/>
      <c r="G48" s="74">
        <f>SUM(G42:G47)</f>
        <v>55185830.303022891</v>
      </c>
    </row>
    <row r="50" spans="1:7">
      <c r="A50" s="47" t="s">
        <v>189</v>
      </c>
      <c r="F50" s="62">
        <f>SGS!$F$40</f>
        <v>2.725E-2</v>
      </c>
      <c r="G50" s="7">
        <f>+E16*F50</f>
        <v>11947727.1295</v>
      </c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27"/>
  <sheetViews>
    <sheetView workbookViewId="0">
      <selection activeCell="D4" sqref="D4:D6"/>
    </sheetView>
  </sheetViews>
  <sheetFormatPr defaultColWidth="9.1796875" defaultRowHeight="15.5"/>
  <cols>
    <col min="1" max="1" width="11.453125" style="96" bestFit="1" customWidth="1"/>
    <col min="2" max="2" width="12.7265625" style="96" customWidth="1"/>
    <col min="3" max="4" width="15.7265625" style="96" customWidth="1"/>
    <col min="5" max="5" width="13.7265625" style="96" customWidth="1"/>
    <col min="6" max="6" width="10.7265625" style="96" bestFit="1" customWidth="1"/>
    <col min="7" max="7" width="9.1796875" style="96"/>
    <col min="8" max="8" width="9.7265625" style="96" bestFit="1" customWidth="1"/>
    <col min="9" max="16384" width="9.1796875" style="96"/>
  </cols>
  <sheetData>
    <row r="1" spans="1:6">
      <c r="F1" s="144" t="s">
        <v>242</v>
      </c>
    </row>
    <row r="4" spans="1:6">
      <c r="C4" s="125"/>
      <c r="D4" s="125" t="s">
        <v>223</v>
      </c>
      <c r="E4" s="125" t="s">
        <v>223</v>
      </c>
      <c r="F4" s="125"/>
    </row>
    <row r="5" spans="1:6">
      <c r="B5" s="126" t="s">
        <v>195</v>
      </c>
      <c r="C5" s="125" t="s">
        <v>4</v>
      </c>
      <c r="D5" s="125" t="s">
        <v>238</v>
      </c>
      <c r="E5" s="125" t="s">
        <v>240</v>
      </c>
      <c r="F5" s="125" t="s">
        <v>97</v>
      </c>
    </row>
    <row r="6" spans="1:6">
      <c r="A6" s="127" t="s">
        <v>80</v>
      </c>
      <c r="B6" s="128" t="s">
        <v>196</v>
      </c>
      <c r="C6" s="127" t="s">
        <v>7</v>
      </c>
      <c r="D6" s="127" t="s">
        <v>7</v>
      </c>
      <c r="E6" s="127" t="s">
        <v>239</v>
      </c>
      <c r="F6" s="127" t="s">
        <v>241</v>
      </c>
    </row>
    <row r="7" spans="1:6">
      <c r="A7" s="127"/>
      <c r="B7" s="124"/>
    </row>
    <row r="8" spans="1:6">
      <c r="A8" s="96" t="s">
        <v>197</v>
      </c>
      <c r="B8" s="131">
        <f>SUM(SUMMARY!P11:P15)</f>
        <v>136519</v>
      </c>
      <c r="C8" s="129">
        <f>SUM(SUMMARY!C11:C15)</f>
        <v>215744787.07454881</v>
      </c>
      <c r="D8" s="129">
        <f>SUM('Revenue Comparison'!F5:F7)</f>
        <v>235830985.51910883</v>
      </c>
      <c r="E8" s="129">
        <f>D8-C8</f>
        <v>20086198.444560021</v>
      </c>
      <c r="F8" s="130">
        <f>IF(C8&gt;0,E8/C8,0)</f>
        <v>9.3101662927407847E-2</v>
      </c>
    </row>
    <row r="9" spans="1:6" ht="4.5" customHeight="1">
      <c r="B9" s="131"/>
      <c r="F9" s="130"/>
    </row>
    <row r="10" spans="1:6">
      <c r="A10" s="96" t="s">
        <v>199</v>
      </c>
      <c r="B10" s="131">
        <f>SUM(SUMMARY!P19:P25)</f>
        <v>23887</v>
      </c>
      <c r="C10" s="129">
        <f>SUM(SUMMARY!C19:C25)</f>
        <v>18679797.781678338</v>
      </c>
      <c r="D10" s="129">
        <f>SUM('Revenue Comparison'!F12:F15)</f>
        <v>19665714.667808339</v>
      </c>
      <c r="E10" s="129">
        <f>D10-C10</f>
        <v>985916.8861300014</v>
      </c>
      <c r="F10" s="130">
        <f>IF(C10&gt;0,E10/C10,0)</f>
        <v>5.2779847921962837E-2</v>
      </c>
    </row>
    <row r="11" spans="1:6" ht="4.5" customHeight="1">
      <c r="B11" s="131"/>
      <c r="F11" s="130"/>
    </row>
    <row r="12" spans="1:6">
      <c r="A12" s="96" t="s">
        <v>142</v>
      </c>
      <c r="B12" s="131">
        <f>SUM(SUMMARY!P27:P37)</f>
        <v>6793</v>
      </c>
      <c r="C12" s="129">
        <f>SUM(SUMMARY!C27:C37)</f>
        <v>53627370.164961316</v>
      </c>
      <c r="D12" s="129">
        <f>SUM('Revenue Comparison'!F18:F23)</f>
        <v>57041315.987911314</v>
      </c>
      <c r="E12" s="129">
        <f>D12-C12</f>
        <v>3413945.8229499981</v>
      </c>
      <c r="F12" s="130">
        <f>IF(C12&gt;0,E12/C12,0)</f>
        <v>6.3660511646356638E-2</v>
      </c>
    </row>
    <row r="13" spans="1:6" ht="4.5" customHeight="1">
      <c r="B13" s="131"/>
      <c r="F13" s="130"/>
    </row>
    <row r="14" spans="1:6">
      <c r="A14" s="96" t="s">
        <v>234</v>
      </c>
      <c r="B14" s="131">
        <f>SUM(SUMMARY!P39:P41)</f>
        <v>162</v>
      </c>
      <c r="C14" s="129">
        <f>SUM(SUMMARY!C39:C41)</f>
        <v>11504478.012953892</v>
      </c>
      <c r="D14" s="129">
        <f>SUM('Revenue Comparison'!F26:F27)</f>
        <v>12295506.951773891</v>
      </c>
      <c r="E14" s="129">
        <f>D14-C14</f>
        <v>791028.93881999888</v>
      </c>
      <c r="F14" s="130">
        <f>IF(C14&gt;0,E14/C14,0)</f>
        <v>6.8758351133298756E-2</v>
      </c>
    </row>
    <row r="15" spans="1:6" ht="4.5" customHeight="1">
      <c r="B15" s="131"/>
      <c r="F15" s="130"/>
    </row>
    <row r="16" spans="1:6">
      <c r="A16" s="96" t="s">
        <v>143</v>
      </c>
      <c r="B16" s="131">
        <f>SUM(SUMMARY!P43:P53)</f>
        <v>668</v>
      </c>
      <c r="C16" s="129">
        <f>SUM(SUMMARY!C43:C53)</f>
        <v>51375193.333825424</v>
      </c>
      <c r="D16" s="129">
        <f>SUM('Revenue Comparison'!F30:F35)</f>
        <v>54111359.681975409</v>
      </c>
      <c r="E16" s="129">
        <f>D16-C16</f>
        <v>2736166.3481499851</v>
      </c>
      <c r="F16" s="130">
        <f>IF(C16&gt;0,E16/C16,0)</f>
        <v>5.3258511950912565E-2</v>
      </c>
    </row>
    <row r="17" spans="1:6" ht="4.5" customHeight="1">
      <c r="B17" s="131"/>
      <c r="F17" s="130"/>
    </row>
    <row r="18" spans="1:6">
      <c r="A18" s="96" t="s">
        <v>200</v>
      </c>
      <c r="B18" s="131">
        <f>SUM(SUMMARY!P55:P61)</f>
        <v>68</v>
      </c>
      <c r="C18" s="129">
        <f>SUM(SUMMARY!C55:C61)</f>
        <v>138769642.37893879</v>
      </c>
      <c r="D18" s="129" t="e">
        <f>SUM('Revenue Comparison'!F38:F41,'Revenue Comparison'!F44:F45)</f>
        <v>#REF!</v>
      </c>
      <c r="E18" s="129" t="e">
        <f>D18-C18</f>
        <v>#REF!</v>
      </c>
      <c r="F18" s="130" t="e">
        <f>IF(C18&gt;0,E18/C18,0)</f>
        <v>#REF!</v>
      </c>
    </row>
    <row r="19" spans="1:6" ht="4.5" customHeight="1">
      <c r="B19" s="131"/>
      <c r="F19" s="130"/>
    </row>
    <row r="20" spans="1:6">
      <c r="A20" s="96" t="s">
        <v>198</v>
      </c>
      <c r="B20" s="131"/>
      <c r="C20" s="129">
        <f>SUMMARY!C17</f>
        <v>8231794.7983330507</v>
      </c>
      <c r="D20" s="129">
        <f>'Revenue Comparison'!F10</f>
        <v>8433544.1983330492</v>
      </c>
      <c r="E20" s="129">
        <f>D20-C20</f>
        <v>201749.39999999851</v>
      </c>
      <c r="F20" s="130">
        <f>IF(C20&gt;0,E20/C20,0)</f>
        <v>2.450855553892731E-2</v>
      </c>
    </row>
    <row r="21" spans="1:6" ht="4.5" customHeight="1">
      <c r="B21" s="131"/>
      <c r="F21" s="130"/>
    </row>
    <row r="22" spans="1:6">
      <c r="A22" s="96" t="s">
        <v>144</v>
      </c>
      <c r="B22" s="131">
        <f>SUMMARY!P63</f>
        <v>0</v>
      </c>
      <c r="C22" s="129">
        <f>SUMMARY!C63</f>
        <v>1407107.8340438304</v>
      </c>
      <c r="D22" s="129">
        <f>'Revenue Comparison'!F48</f>
        <v>1443867.9940438303</v>
      </c>
      <c r="E22" s="129">
        <f>D22-C22</f>
        <v>36760.159999999916</v>
      </c>
      <c r="F22" s="130">
        <f>IF(C22&gt;0,E22/C22,0)</f>
        <v>2.612462180269182E-2</v>
      </c>
    </row>
    <row r="23" spans="1:6" ht="4.5" customHeight="1">
      <c r="B23" s="131"/>
      <c r="F23" s="130"/>
    </row>
    <row r="24" spans="1:6">
      <c r="A24" s="132" t="s">
        <v>153</v>
      </c>
      <c r="B24" s="135">
        <f>SUMMARY!P65</f>
        <v>10</v>
      </c>
      <c r="C24" s="133">
        <f>SUMMARY!C65</f>
        <v>194342.4664362481</v>
      </c>
      <c r="D24" s="133">
        <f>'Revenue Comparison'!F50</f>
        <v>199303.0546362481</v>
      </c>
      <c r="E24" s="133">
        <f>D24-C24</f>
        <v>4960.5881999999983</v>
      </c>
      <c r="F24" s="134">
        <f>IF(C24&gt;0,E24/C24,0)</f>
        <v>2.5524983247175493E-2</v>
      </c>
    </row>
    <row r="25" spans="1:6" ht="4.5" customHeight="1"/>
    <row r="26" spans="1:6">
      <c r="A26" s="96" t="s">
        <v>14</v>
      </c>
      <c r="B26" s="136">
        <f>SUM(B8:B24)</f>
        <v>168107</v>
      </c>
      <c r="C26" s="129">
        <f>SUM(C8:C24)</f>
        <v>499534513.8457197</v>
      </c>
      <c r="D26" s="129" t="e">
        <f>SUM(D8:D24)</f>
        <v>#REF!</v>
      </c>
      <c r="E26" s="129" t="e">
        <f>SUM(E8:E24)</f>
        <v>#REF!</v>
      </c>
      <c r="F26" s="130" t="e">
        <f>IF(C26&gt;0,E26/C26,0)</f>
        <v>#REF!</v>
      </c>
    </row>
    <row r="27" spans="1:6">
      <c r="F27"/>
    </row>
  </sheetData>
  <printOptions horizontalCentered="1"/>
  <pageMargins left="0.5" right="0.5" top="0.5" bottom="0.5" header="0.3" footer="0.3"/>
  <pageSetup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9"/>
  <sheetViews>
    <sheetView workbookViewId="0">
      <selection activeCell="F33" sqref="F33"/>
    </sheetView>
  </sheetViews>
  <sheetFormatPr defaultRowHeight="12.5"/>
  <cols>
    <col min="1" max="1" width="21.7265625" customWidth="1"/>
    <col min="2" max="2" width="9.7265625" bestFit="1" customWidth="1"/>
    <col min="3" max="3" width="12.7265625" customWidth="1"/>
    <col min="4" max="4" width="11.7265625" customWidth="1"/>
    <col min="5" max="5" width="16.26953125" style="16" customWidth="1"/>
    <col min="6" max="6" width="13.453125" style="16" customWidth="1"/>
    <col min="7" max="7" width="12" style="16" customWidth="1"/>
    <col min="8" max="10" width="8.81640625" style="16" customWidth="1"/>
  </cols>
  <sheetData>
    <row r="1" spans="1:8">
      <c r="A1" t="str">
        <f>+RS!A1</f>
        <v>KENTUCKY POWER BILLING ANALYSIS</v>
      </c>
    </row>
    <row r="2" spans="1:8">
      <c r="A2" t="str">
        <f>+RS!A2</f>
        <v>PROFORMA</v>
      </c>
    </row>
    <row r="3" spans="1:8">
      <c r="A3" t="str">
        <f>+RS!A3</f>
        <v>TEST YEAR ENDED FEBRUARY 28, 2017</v>
      </c>
    </row>
    <row r="5" spans="1:8">
      <c r="A5" t="s">
        <v>51</v>
      </c>
    </row>
    <row r="8" spans="1:8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8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8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8">
      <c r="A12" t="s">
        <v>52</v>
      </c>
      <c r="B12" s="61">
        <v>1372008</v>
      </c>
      <c r="C12" s="164">
        <v>9.2660000000000006E-2</v>
      </c>
      <c r="D12" s="7">
        <f>+B12*C12</f>
        <v>127130.26128000001</v>
      </c>
      <c r="E12" s="20">
        <f>+B12</f>
        <v>1372008</v>
      </c>
      <c r="F12" s="66">
        <f>'Rate Input'!C29</f>
        <v>0.10580000000000001</v>
      </c>
      <c r="G12" s="11">
        <f>+E12*F12</f>
        <v>145158.44640000002</v>
      </c>
      <c r="H12" s="74"/>
    </row>
    <row r="13" spans="1:8">
      <c r="B13" s="61"/>
      <c r="C13" s="47"/>
      <c r="D13" s="7"/>
      <c r="E13" s="20"/>
      <c r="F13" s="58"/>
      <c r="G13" s="11"/>
    </row>
    <row r="14" spans="1:8">
      <c r="A14" t="s">
        <v>11</v>
      </c>
      <c r="B14" s="61">
        <f>B12</f>
        <v>1372008</v>
      </c>
      <c r="C14" s="47"/>
      <c r="D14" s="7"/>
      <c r="E14" s="20">
        <f>+B14</f>
        <v>1372008</v>
      </c>
      <c r="F14" s="58"/>
      <c r="G14" s="11"/>
    </row>
    <row r="15" spans="1:8">
      <c r="B15" s="58"/>
      <c r="C15" s="47"/>
      <c r="D15" s="7"/>
      <c r="E15" s="20"/>
      <c r="F15" s="58"/>
      <c r="G15" s="11"/>
    </row>
    <row r="16" spans="1:8">
      <c r="A16" t="s">
        <v>12</v>
      </c>
      <c r="B16" s="61">
        <v>986</v>
      </c>
      <c r="C16" s="165">
        <v>17.5</v>
      </c>
      <c r="D16" s="7">
        <f>+B16*C16</f>
        <v>17255</v>
      </c>
      <c r="E16" s="20">
        <f>+B16</f>
        <v>986</v>
      </c>
      <c r="F16" s="67">
        <f>'Rate Input'!B29</f>
        <v>22.5</v>
      </c>
      <c r="G16" s="11">
        <f>+E16*F16</f>
        <v>22185</v>
      </c>
      <c r="H16" s="74"/>
    </row>
    <row r="17" spans="1:8">
      <c r="B17" s="58"/>
      <c r="C17" s="47"/>
      <c r="D17" s="7"/>
      <c r="E17" s="20"/>
      <c r="F17" s="58"/>
      <c r="G17" s="7"/>
    </row>
    <row r="18" spans="1:8">
      <c r="A18" t="s">
        <v>13</v>
      </c>
      <c r="B18" s="61">
        <v>984</v>
      </c>
      <c r="C18" s="47"/>
      <c r="D18" s="7"/>
      <c r="E18" s="20">
        <f>+B18</f>
        <v>984</v>
      </c>
      <c r="F18" s="58"/>
      <c r="G18" s="7"/>
    </row>
    <row r="19" spans="1:8">
      <c r="B19" s="47"/>
      <c r="C19" s="47"/>
      <c r="D19" s="7"/>
      <c r="F19" s="58"/>
      <c r="G19" s="7"/>
    </row>
    <row r="20" spans="1:8">
      <c r="A20" t="str">
        <f>+RS!A$25</f>
        <v xml:space="preserve">Fuel </v>
      </c>
      <c r="C20" s="177">
        <f>+RS!C25</f>
        <v>1.5985060633393854E-3</v>
      </c>
      <c r="D20" s="7">
        <f>+B14*C20</f>
        <v>2193.1631069501436</v>
      </c>
      <c r="F20" s="62">
        <f>+RS!F25</f>
        <v>1.5985060633393854E-3</v>
      </c>
      <c r="G20" s="7">
        <f>+E14*F20</f>
        <v>2193.1631069501436</v>
      </c>
      <c r="H20" s="74"/>
    </row>
    <row r="21" spans="1:8">
      <c r="D21" s="7"/>
      <c r="G21" s="7"/>
    </row>
    <row r="22" spans="1:8">
      <c r="A22" t="str">
        <f>+RS!A$27</f>
        <v>Purchase Power Adjustment</v>
      </c>
      <c r="D22" s="46">
        <v>138</v>
      </c>
      <c r="G22" s="46">
        <v>0</v>
      </c>
      <c r="H22" s="74"/>
    </row>
    <row r="23" spans="1:8">
      <c r="D23" s="46"/>
      <c r="E23" s="20"/>
      <c r="F23" s="67"/>
      <c r="G23" s="46"/>
    </row>
    <row r="24" spans="1:8">
      <c r="A24" t="str">
        <f>RS!A30</f>
        <v>Big Sandy 1 Operations Rider</v>
      </c>
      <c r="C24" s="164">
        <v>4.7099999999999998E-3</v>
      </c>
      <c r="D24" s="46">
        <v>5325</v>
      </c>
      <c r="E24" s="20"/>
      <c r="F24" s="66"/>
      <c r="G24" s="46">
        <v>0</v>
      </c>
      <c r="H24" s="74"/>
    </row>
    <row r="25" spans="1:8">
      <c r="D25" s="46"/>
      <c r="E25" s="20"/>
      <c r="F25" s="67"/>
      <c r="G25" s="46"/>
    </row>
    <row r="26" spans="1:8">
      <c r="A26" t="str">
        <f>RS!A32</f>
        <v>Big Sandy Retirement Rider</v>
      </c>
      <c r="C26" s="163">
        <v>5.4338999999999998E-2</v>
      </c>
      <c r="D26" s="46">
        <v>0</v>
      </c>
      <c r="E26" s="74"/>
      <c r="F26" s="80"/>
      <c r="G26" s="46">
        <v>0</v>
      </c>
      <c r="H26" s="74"/>
    </row>
    <row r="27" spans="1:8">
      <c r="D27" s="46"/>
      <c r="E27" s="20"/>
      <c r="F27" s="59"/>
      <c r="G27" s="46"/>
    </row>
    <row r="28" spans="1:8">
      <c r="A28" t="str">
        <f>+RS!A$34</f>
        <v>Environmental Surcharge</v>
      </c>
      <c r="C28" s="15"/>
      <c r="D28" s="46">
        <v>3542</v>
      </c>
      <c r="E28" s="74"/>
      <c r="F28" s="80"/>
      <c r="G28" s="46">
        <v>0</v>
      </c>
      <c r="H28" s="74"/>
    </row>
    <row r="29" spans="1:8">
      <c r="A29" s="12"/>
      <c r="B29" s="12"/>
      <c r="C29" s="12"/>
      <c r="D29" s="13"/>
      <c r="E29" s="209"/>
      <c r="F29" s="209"/>
      <c r="G29" s="13"/>
    </row>
    <row r="30" spans="1:8">
      <c r="A30" t="s">
        <v>261</v>
      </c>
      <c r="D30" s="7">
        <f>SUM(D12:D29)</f>
        <v>155583.42438695015</v>
      </c>
      <c r="G30" s="7">
        <f>SUM(G12:G29)</f>
        <v>169536.60950695016</v>
      </c>
      <c r="H30" s="74"/>
    </row>
    <row r="33" spans="1:8">
      <c r="A33" t="str">
        <f>RS!A40</f>
        <v>Economic Development Rider</v>
      </c>
      <c r="C33" s="162">
        <v>0.15</v>
      </c>
      <c r="D33" s="46">
        <f>C33*E33</f>
        <v>147.9</v>
      </c>
      <c r="E33" s="20">
        <f>E16</f>
        <v>986</v>
      </c>
      <c r="F33" s="67">
        <f>SGS!F34</f>
        <v>1</v>
      </c>
      <c r="G33" s="46">
        <f>E33*F33</f>
        <v>986</v>
      </c>
      <c r="H33" s="74"/>
    </row>
    <row r="35" spans="1:8">
      <c r="A35" t="s">
        <v>286</v>
      </c>
      <c r="E35" s="74">
        <f>G30+G33-G20-G39</f>
        <v>130942.22840000002</v>
      </c>
      <c r="F35" s="195">
        <f>SGS!F36</f>
        <v>1.1413000000000001E-2</v>
      </c>
      <c r="G35" s="226">
        <f>+F35*E35</f>
        <v>1494.4436527292005</v>
      </c>
    </row>
    <row r="36" spans="1:8">
      <c r="A36" s="12"/>
      <c r="B36" s="12"/>
      <c r="C36" s="12"/>
      <c r="D36" s="12"/>
      <c r="E36" s="222"/>
      <c r="F36" s="209"/>
      <c r="G36" s="209"/>
    </row>
    <row r="37" spans="1:8">
      <c r="A37" t="s">
        <v>262</v>
      </c>
      <c r="D37" s="74">
        <f>SUM(D30:D36)</f>
        <v>155731.32438695015</v>
      </c>
      <c r="E37" s="74"/>
      <c r="G37" s="74">
        <f>SUM(G30:G36)</f>
        <v>172017.05315967937</v>
      </c>
    </row>
    <row r="39" spans="1:8">
      <c r="A39" s="47" t="s">
        <v>189</v>
      </c>
      <c r="C39" s="15"/>
      <c r="F39" s="62">
        <f>SGS!$F$40</f>
        <v>2.725E-2</v>
      </c>
      <c r="G39" s="7">
        <f>+E14*F39</f>
        <v>37387.218000000001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8"/>
  <sheetViews>
    <sheetView topLeftCell="A7" workbookViewId="0">
      <selection activeCell="F32" sqref="F32"/>
    </sheetView>
  </sheetViews>
  <sheetFormatPr defaultRowHeight="12.5"/>
  <cols>
    <col min="1" max="1" width="25.1796875" customWidth="1"/>
    <col min="2" max="2" width="12.453125" customWidth="1"/>
    <col min="3" max="3" width="11.54296875" customWidth="1"/>
    <col min="4" max="4" width="12" customWidth="1"/>
    <col min="5" max="5" width="16.26953125" style="16" customWidth="1"/>
    <col min="6" max="6" width="13.54296875" style="16" customWidth="1"/>
    <col min="7" max="7" width="13.179687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59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21</v>
      </c>
      <c r="B13" s="61">
        <v>1320065</v>
      </c>
      <c r="C13" s="164">
        <f>MGSLMTOD!C13</f>
        <v>0.15955</v>
      </c>
      <c r="D13" s="7">
        <f>+B13*C13</f>
        <v>210616.37075</v>
      </c>
      <c r="E13" s="20">
        <f>+B13</f>
        <v>1320065</v>
      </c>
      <c r="F13" s="66">
        <f>'Rate Input'!C32</f>
        <v>0.17255000000000001</v>
      </c>
      <c r="G13" s="11">
        <f>+E13*F13</f>
        <v>227777.21575</v>
      </c>
    </row>
    <row r="14" spans="1:7">
      <c r="A14" t="s">
        <v>22</v>
      </c>
      <c r="B14" s="61">
        <v>2265492</v>
      </c>
      <c r="C14" s="164">
        <f>MGSLMTOD!C14</f>
        <v>5.3409999999999999E-2</v>
      </c>
      <c r="D14" s="7">
        <f>+B14*C14</f>
        <v>120999.92771999999</v>
      </c>
      <c r="E14" s="20">
        <f>+B14</f>
        <v>2265492</v>
      </c>
      <c r="F14" s="66">
        <f>'Rate Input'!C33</f>
        <v>6.3469999999999999E-2</v>
      </c>
      <c r="G14" s="11">
        <f>+E14*F14</f>
        <v>143790.77724</v>
      </c>
    </row>
    <row r="15" spans="1:7">
      <c r="C15" s="47"/>
      <c r="D15" s="7"/>
      <c r="E15" s="20"/>
      <c r="F15" s="58"/>
      <c r="G15" s="11"/>
    </row>
    <row r="16" spans="1:7">
      <c r="A16" t="s">
        <v>11</v>
      </c>
      <c r="B16" s="4">
        <f>SUM(B13:B14)</f>
        <v>3585557</v>
      </c>
      <c r="C16" s="47"/>
      <c r="D16" s="7"/>
      <c r="E16" s="20">
        <f>+B16</f>
        <v>3585557</v>
      </c>
      <c r="F16" s="58"/>
      <c r="G16" s="11"/>
    </row>
    <row r="17" spans="1:7">
      <c r="C17" s="47"/>
      <c r="D17" s="7"/>
      <c r="E17" s="20"/>
      <c r="F17" s="58"/>
      <c r="G17" s="11"/>
    </row>
    <row r="18" spans="1:7">
      <c r="A18" t="s">
        <v>12</v>
      </c>
      <c r="B18" s="61">
        <v>925</v>
      </c>
      <c r="C18" s="165">
        <v>17.5</v>
      </c>
      <c r="D18" s="7">
        <f>+B18*C18</f>
        <v>16187.5</v>
      </c>
      <c r="E18" s="20">
        <f>+B18</f>
        <v>925</v>
      </c>
      <c r="F18" s="67">
        <f>'Rate Input'!B31</f>
        <v>22.5</v>
      </c>
      <c r="G18" s="11">
        <f>+E18*F18</f>
        <v>20812.5</v>
      </c>
    </row>
    <row r="19" spans="1:7">
      <c r="B19" s="58"/>
      <c r="C19" s="47"/>
      <c r="D19" s="7"/>
      <c r="E19" s="20"/>
      <c r="F19" s="58"/>
      <c r="G19" s="7"/>
    </row>
    <row r="20" spans="1:7">
      <c r="A20" t="s">
        <v>13</v>
      </c>
      <c r="B20" s="61">
        <v>924</v>
      </c>
      <c r="C20" s="47"/>
      <c r="D20" s="7"/>
      <c r="E20" s="20">
        <f>+B20</f>
        <v>924</v>
      </c>
      <c r="F20" s="58"/>
      <c r="G20" s="7"/>
    </row>
    <row r="21" spans="1:7">
      <c r="B21" s="14"/>
      <c r="C21" s="47"/>
      <c r="D21" s="7"/>
      <c r="E21" s="20"/>
      <c r="F21" s="58"/>
      <c r="G21" s="7"/>
    </row>
    <row r="22" spans="1:7">
      <c r="A22" t="str">
        <f>+RS!A$25</f>
        <v xml:space="preserve">Fuel </v>
      </c>
      <c r="C22" s="224">
        <f>+RS!C25</f>
        <v>1.5985060633393854E-3</v>
      </c>
      <c r="D22" s="7">
        <f>+B16*C22</f>
        <v>5731.5346049489763</v>
      </c>
      <c r="F22" s="62">
        <f>+RS!F25</f>
        <v>1.5985060633393854E-3</v>
      </c>
      <c r="G22" s="7">
        <f>+E16*F22</f>
        <v>5731.5346049489763</v>
      </c>
    </row>
    <row r="23" spans="1:7">
      <c r="D23" s="7"/>
      <c r="G23" s="7"/>
    </row>
    <row r="24" spans="1:7">
      <c r="A24" s="47" t="s">
        <v>263</v>
      </c>
      <c r="D24" s="46">
        <v>326</v>
      </c>
      <c r="G24" s="46">
        <v>0</v>
      </c>
    </row>
    <row r="25" spans="1:7">
      <c r="D25" s="46"/>
      <c r="E25" s="20"/>
      <c r="F25" s="67"/>
      <c r="G25" s="46"/>
    </row>
    <row r="26" spans="1:7">
      <c r="A26" t="str">
        <f>RS!A30</f>
        <v>Big Sandy 1 Operations Rider</v>
      </c>
      <c r="C26" s="164">
        <f>MGSLMTOD!C26</f>
        <v>4.7099999999999998E-3</v>
      </c>
      <c r="D26" s="46">
        <v>14198</v>
      </c>
      <c r="E26" s="20"/>
      <c r="F26" s="66"/>
      <c r="G26" s="46">
        <v>0</v>
      </c>
    </row>
    <row r="27" spans="1:7">
      <c r="D27" s="46"/>
      <c r="E27" s="20"/>
      <c r="F27" s="67"/>
      <c r="G27" s="46"/>
    </row>
    <row r="28" spans="1:7">
      <c r="A28" t="str">
        <f>+RS!A$34</f>
        <v>Environmental Surcharge</v>
      </c>
      <c r="C28" s="163">
        <f>MGSLMTOD!C28</f>
        <v>5.4338999999999998E-2</v>
      </c>
      <c r="D28" s="46">
        <v>8558</v>
      </c>
      <c r="E28" s="74"/>
      <c r="F28" s="80"/>
      <c r="G28" s="46">
        <v>0</v>
      </c>
    </row>
    <row r="29" spans="1:7" ht="13.5" customHeight="1">
      <c r="A29" s="12"/>
      <c r="B29" s="12"/>
      <c r="C29" s="12"/>
      <c r="D29" s="207"/>
      <c r="E29" s="205"/>
      <c r="F29" s="206"/>
      <c r="G29" s="207"/>
    </row>
    <row r="30" spans="1:7">
      <c r="A30" s="47" t="s">
        <v>261</v>
      </c>
      <c r="D30" s="7">
        <f>SUM(D13:D28)</f>
        <v>376617.33307494898</v>
      </c>
      <c r="G30" s="7">
        <f>SUM(G13:G29)</f>
        <v>398112.027594949</v>
      </c>
    </row>
    <row r="32" spans="1:7">
      <c r="A32" t="s">
        <v>180</v>
      </c>
      <c r="C32">
        <v>0.15</v>
      </c>
      <c r="D32">
        <f>C32*B18</f>
        <v>138.75</v>
      </c>
      <c r="E32" s="20">
        <f>E18</f>
        <v>925</v>
      </c>
      <c r="F32" s="67">
        <f>SGS!F34</f>
        <v>1</v>
      </c>
      <c r="G32" s="7">
        <f>+E32*F32</f>
        <v>925</v>
      </c>
    </row>
    <row r="34" spans="1:7">
      <c r="A34" t="s">
        <v>286</v>
      </c>
      <c r="E34" s="74">
        <f>G30+G32-G22-G38</f>
        <v>295599.06474</v>
      </c>
      <c r="F34" s="195">
        <f>SGS!F36</f>
        <v>1.1413000000000001E-2</v>
      </c>
      <c r="G34" s="7">
        <f>+E34*F34</f>
        <v>3373.6721258776206</v>
      </c>
    </row>
    <row r="35" spans="1:7">
      <c r="A35" s="12"/>
      <c r="B35" s="12"/>
      <c r="C35" s="12"/>
      <c r="D35" s="12"/>
      <c r="E35" s="209"/>
      <c r="F35" s="209"/>
      <c r="G35" s="209"/>
    </row>
    <row r="36" spans="1:7">
      <c r="A36" t="s">
        <v>262</v>
      </c>
      <c r="D36" s="74">
        <f>SUM(D30:D35)</f>
        <v>376756.08307494898</v>
      </c>
      <c r="G36" s="74">
        <f>SUM(G30:G35)</f>
        <v>402410.69972082664</v>
      </c>
    </row>
    <row r="38" spans="1:7">
      <c r="A38" s="47" t="s">
        <v>189</v>
      </c>
      <c r="F38" s="62">
        <f>SGS!$F$40</f>
        <v>2.725E-2</v>
      </c>
      <c r="G38" s="7">
        <f>+E16*F38</f>
        <v>97706.428249999997</v>
      </c>
    </row>
  </sheetData>
  <phoneticPr fontId="0" type="noConversion"/>
  <pageMargins left="0.75" right="0.75" top="1" bottom="1" header="0.5" footer="0.5"/>
  <pageSetup scale="1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1"/>
  <sheetViews>
    <sheetView topLeftCell="A16" workbookViewId="0">
      <selection activeCell="F45" sqref="F45"/>
    </sheetView>
  </sheetViews>
  <sheetFormatPr defaultRowHeight="12.5"/>
  <cols>
    <col min="1" max="1" width="25.26953125" customWidth="1"/>
    <col min="2" max="2" width="13.54296875" customWidth="1"/>
    <col min="3" max="3" width="11.7265625" style="15" customWidth="1"/>
    <col min="4" max="4" width="13.81640625" customWidth="1"/>
    <col min="5" max="5" width="16.26953125" style="16" customWidth="1"/>
    <col min="6" max="6" width="12.7265625" style="16" customWidth="1"/>
    <col min="7" max="7" width="13.269531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60</v>
      </c>
    </row>
    <row r="8" spans="1:7">
      <c r="B8" s="1" t="str">
        <f>+RS!B8</f>
        <v xml:space="preserve">Current </v>
      </c>
      <c r="C8" s="172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72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173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53</v>
      </c>
      <c r="B13" s="61">
        <v>8597484</v>
      </c>
      <c r="C13" s="174">
        <v>9.357E-2</v>
      </c>
      <c r="D13" s="7">
        <f>+B13*C13</f>
        <v>804466.57788</v>
      </c>
      <c r="E13" s="20"/>
      <c r="F13" s="56"/>
      <c r="G13" s="7"/>
    </row>
    <row r="14" spans="1:7">
      <c r="A14" t="s">
        <v>54</v>
      </c>
      <c r="B14" s="61">
        <v>6052191</v>
      </c>
      <c r="C14" s="174">
        <v>8.3599999999999994E-2</v>
      </c>
      <c r="D14" s="7">
        <f>+B14*C14</f>
        <v>505963.16759999999</v>
      </c>
      <c r="E14" s="20"/>
      <c r="F14" s="56"/>
      <c r="G14" s="7"/>
    </row>
    <row r="15" spans="1:7">
      <c r="A15" t="s">
        <v>55</v>
      </c>
      <c r="B15" s="61">
        <v>18904</v>
      </c>
      <c r="C15" s="175"/>
      <c r="D15" s="7"/>
      <c r="E15" s="20"/>
      <c r="F15" s="56"/>
      <c r="G15" s="7"/>
    </row>
    <row r="16" spans="1:7">
      <c r="A16" t="s">
        <v>103</v>
      </c>
      <c r="B16" s="61">
        <v>4968</v>
      </c>
      <c r="C16" s="175"/>
      <c r="D16" s="7"/>
      <c r="E16" s="20"/>
      <c r="F16" s="56"/>
      <c r="G16" s="7"/>
    </row>
    <row r="17" spans="1:7">
      <c r="A17" t="s">
        <v>11</v>
      </c>
      <c r="B17" s="4">
        <f>SUM(B13:B16)</f>
        <v>14673547</v>
      </c>
      <c r="C17" s="175"/>
      <c r="D17" s="7"/>
      <c r="E17" s="20"/>
      <c r="F17" s="59"/>
      <c r="G17" s="7"/>
    </row>
    <row r="18" spans="1:7">
      <c r="B18" s="4"/>
      <c r="C18" s="175"/>
      <c r="D18" s="7"/>
      <c r="E18" s="20"/>
      <c r="F18" s="59"/>
      <c r="G18" s="7"/>
    </row>
    <row r="19" spans="1:7">
      <c r="A19" s="47" t="s">
        <v>282</v>
      </c>
      <c r="B19" s="4"/>
      <c r="C19" s="175"/>
      <c r="D19" s="7"/>
      <c r="E19" s="61">
        <v>4165200</v>
      </c>
      <c r="F19" s="56">
        <f>'Rate Input'!C35</f>
        <v>8.8039999999999993E-2</v>
      </c>
      <c r="G19" s="7">
        <f t="shared" ref="G19:G20" si="0">+E19*F19</f>
        <v>366704.20799999998</v>
      </c>
    </row>
    <row r="20" spans="1:7">
      <c r="A20" s="47" t="s">
        <v>283</v>
      </c>
      <c r="B20" s="4"/>
      <c r="C20" s="175"/>
      <c r="D20" s="7"/>
      <c r="E20" s="61">
        <v>10503379</v>
      </c>
      <c r="F20" s="56">
        <f>'Rate Input'!C36</f>
        <v>8.8340000000000002E-2</v>
      </c>
      <c r="G20" s="7">
        <f t="shared" si="0"/>
        <v>927868.50086000003</v>
      </c>
    </row>
    <row r="21" spans="1:7">
      <c r="C21" s="175"/>
      <c r="D21" s="7"/>
      <c r="E21" s="20"/>
      <c r="F21" s="59"/>
      <c r="G21" s="7"/>
    </row>
    <row r="22" spans="1:7">
      <c r="A22" t="s">
        <v>56</v>
      </c>
      <c r="C22" s="175"/>
      <c r="D22" s="7"/>
      <c r="E22" s="20"/>
      <c r="F22" s="59"/>
      <c r="G22" s="7"/>
    </row>
    <row r="23" spans="1:7">
      <c r="A23" t="s">
        <v>57</v>
      </c>
      <c r="B23" s="61">
        <v>42412</v>
      </c>
      <c r="C23" s="176">
        <v>1.87</v>
      </c>
      <c r="D23" s="7">
        <f>+B23*C23</f>
        <v>79310.44</v>
      </c>
      <c r="E23" s="20"/>
      <c r="F23" s="59"/>
      <c r="G23" s="7"/>
    </row>
    <row r="24" spans="1:7">
      <c r="A24" t="s">
        <v>58</v>
      </c>
      <c r="B24" s="61">
        <v>1544</v>
      </c>
      <c r="C24" s="176">
        <v>7.95</v>
      </c>
      <c r="D24" s="7">
        <f>+B24*C24</f>
        <v>12274.800000000001</v>
      </c>
      <c r="E24" s="20"/>
      <c r="F24" s="59"/>
      <c r="G24" s="7"/>
    </row>
    <row r="25" spans="1:7">
      <c r="B25" s="61"/>
      <c r="C25" s="176"/>
      <c r="D25" s="7"/>
      <c r="E25" s="20"/>
      <c r="F25" s="59"/>
      <c r="G25" s="7"/>
    </row>
    <row r="26" spans="1:7">
      <c r="A26" t="s">
        <v>291</v>
      </c>
      <c r="B26" s="61"/>
      <c r="C26" s="176"/>
      <c r="D26" s="7"/>
      <c r="E26" s="61">
        <v>12221</v>
      </c>
      <c r="F26" s="59"/>
      <c r="G26" s="7"/>
    </row>
    <row r="27" spans="1:7">
      <c r="A27" t="s">
        <v>290</v>
      </c>
      <c r="B27" s="61"/>
      <c r="C27" s="176"/>
      <c r="D27" s="7"/>
      <c r="E27" s="61">
        <v>30191</v>
      </c>
      <c r="F27" s="59">
        <f>'Rate Input'!D34</f>
        <v>7.18</v>
      </c>
      <c r="G27" s="7">
        <f t="shared" ref="G27" si="1">+E27*F27</f>
        <v>216771.38</v>
      </c>
    </row>
    <row r="28" spans="1:7">
      <c r="B28" s="58"/>
      <c r="C28" s="176"/>
      <c r="D28" s="7"/>
      <c r="E28" s="20"/>
      <c r="F28" s="59"/>
      <c r="G28" s="7"/>
    </row>
    <row r="29" spans="1:7">
      <c r="A29" t="s">
        <v>12</v>
      </c>
      <c r="B29" s="61">
        <v>936</v>
      </c>
      <c r="C29" s="176">
        <v>50</v>
      </c>
      <c r="D29" s="7">
        <f>+B29*C29</f>
        <v>46800</v>
      </c>
      <c r="E29" s="20">
        <f>B29</f>
        <v>936</v>
      </c>
      <c r="F29" s="59">
        <f>'Rate Input'!B34</f>
        <v>75</v>
      </c>
      <c r="G29" s="7">
        <f>+E29*F29</f>
        <v>70200</v>
      </c>
    </row>
    <row r="30" spans="1:7">
      <c r="B30" s="58"/>
      <c r="C30" s="175"/>
      <c r="D30" s="7"/>
      <c r="E30" s="20"/>
      <c r="F30" s="59"/>
      <c r="G30" s="7"/>
    </row>
    <row r="31" spans="1:7">
      <c r="A31" t="s">
        <v>13</v>
      </c>
      <c r="B31" s="61">
        <v>936</v>
      </c>
      <c r="C31" s="175"/>
      <c r="D31" s="7"/>
      <c r="E31" s="20">
        <f>B31</f>
        <v>936</v>
      </c>
      <c r="F31" s="59"/>
      <c r="G31" s="7"/>
    </row>
    <row r="32" spans="1:7">
      <c r="C32" s="175"/>
      <c r="D32" s="7"/>
      <c r="F32" s="59"/>
      <c r="G32" s="7"/>
    </row>
    <row r="33" spans="1:7">
      <c r="A33" t="str">
        <f>+RS!A$25</f>
        <v xml:space="preserve">Fuel </v>
      </c>
      <c r="C33" s="177">
        <f>+RS!C25</f>
        <v>1.5985060633393854E-3</v>
      </c>
      <c r="D33" s="7">
        <f>+B17*C33</f>
        <v>23455.753850195448</v>
      </c>
      <c r="F33" s="62">
        <f>+RS!F25</f>
        <v>1.5985060633393854E-3</v>
      </c>
      <c r="G33" s="7">
        <f>+B17*F33</f>
        <v>23455.753850195448</v>
      </c>
    </row>
    <row r="34" spans="1:7">
      <c r="D34" s="7"/>
      <c r="G34" s="7"/>
    </row>
    <row r="35" spans="1:7">
      <c r="A35" s="47" t="s">
        <v>266</v>
      </c>
      <c r="D35" s="46">
        <v>1162</v>
      </c>
      <c r="G35" s="46">
        <v>0</v>
      </c>
    </row>
    <row r="36" spans="1:7">
      <c r="A36" s="47"/>
      <c r="D36" s="46"/>
      <c r="G36" s="46"/>
    </row>
    <row r="37" spans="1:7">
      <c r="A37" s="47" t="str">
        <f>+'MGS-SEC'!A36</f>
        <v>Big Sandy 1 Operations Rider - Energy</v>
      </c>
      <c r="C37" s="174">
        <f>'MGS-SEC'!C36</f>
        <v>1.42E-3</v>
      </c>
      <c r="D37" s="46">
        <v>20761</v>
      </c>
      <c r="E37" s="20"/>
      <c r="F37" s="56"/>
      <c r="G37" s="46">
        <v>0</v>
      </c>
    </row>
    <row r="38" spans="1:7">
      <c r="A38" s="47"/>
      <c r="D38" s="46"/>
      <c r="E38" s="20"/>
      <c r="F38" s="59"/>
      <c r="G38" s="46"/>
    </row>
    <row r="39" spans="1:7">
      <c r="A39" s="47" t="str">
        <f>+'MGS-SEC'!A38</f>
        <v>Big Sandy 1 Operations Rider - Demand</v>
      </c>
      <c r="C39" s="176">
        <f>'MGS-SEC'!C38</f>
        <v>0.72</v>
      </c>
      <c r="D39" s="46">
        <v>22638</v>
      </c>
      <c r="E39" s="20"/>
      <c r="F39" s="59"/>
      <c r="G39" s="46">
        <v>0</v>
      </c>
    </row>
    <row r="40" spans="1:7">
      <c r="A40" s="47"/>
      <c r="D40" s="46"/>
      <c r="E40" s="20"/>
      <c r="F40" s="59"/>
      <c r="G40" s="46"/>
    </row>
    <row r="41" spans="1:7">
      <c r="A41" s="47" t="str">
        <f>+'MGS-SEC'!A40</f>
        <v xml:space="preserve">Enviromental Surcharge </v>
      </c>
      <c r="C41" s="178">
        <f>'MGS-SEC'!C40</f>
        <v>5.4338999999999998E-2</v>
      </c>
      <c r="D41" s="46">
        <v>34753</v>
      </c>
      <c r="E41" s="74"/>
      <c r="F41" s="80"/>
      <c r="G41" s="46">
        <v>0</v>
      </c>
    </row>
    <row r="42" spans="1:7">
      <c r="A42" s="12"/>
      <c r="B42" s="12"/>
      <c r="C42" s="203"/>
      <c r="D42" s="13"/>
      <c r="E42" s="209"/>
      <c r="F42" s="209"/>
      <c r="G42" s="13"/>
    </row>
    <row r="43" spans="1:7">
      <c r="A43" s="47" t="s">
        <v>264</v>
      </c>
      <c r="D43" s="7">
        <f>SUM(D13:D41)</f>
        <v>1551584.7393301956</v>
      </c>
      <c r="G43" s="7">
        <f>SUM(G13:G41)</f>
        <v>1604999.8427101956</v>
      </c>
    </row>
    <row r="45" spans="1:7">
      <c r="A45" t="s">
        <v>180</v>
      </c>
      <c r="C45" s="176">
        <v>0.15</v>
      </c>
      <c r="D45" s="46">
        <f>C45*B29</f>
        <v>140.4</v>
      </c>
      <c r="E45" s="20">
        <f>E29</f>
        <v>936</v>
      </c>
      <c r="F45" s="59">
        <f>SGS!F34</f>
        <v>1</v>
      </c>
      <c r="G45" s="46">
        <f>E45*F45</f>
        <v>936</v>
      </c>
    </row>
    <row r="47" spans="1:7">
      <c r="A47" t="s">
        <v>286</v>
      </c>
      <c r="E47" s="74">
        <f>G43+G45-G33-G51</f>
        <v>1182625.9331100001</v>
      </c>
      <c r="F47" s="195">
        <f>SGS!F36</f>
        <v>1.1413000000000001E-2</v>
      </c>
      <c r="G47" s="46">
        <f>E47*F47</f>
        <v>13497.309774584433</v>
      </c>
    </row>
    <row r="48" spans="1:7">
      <c r="A48" s="12"/>
      <c r="B48" s="12"/>
      <c r="C48" s="203"/>
      <c r="D48" s="12"/>
      <c r="E48" s="209"/>
      <c r="F48" s="209"/>
      <c r="G48" s="209"/>
    </row>
    <row r="49" spans="1:7">
      <c r="A49" t="s">
        <v>262</v>
      </c>
      <c r="D49" s="74">
        <f>SUM(D43:D48)</f>
        <v>1551725.1393301955</v>
      </c>
      <c r="G49" s="74">
        <f>SUM(G43:G48)</f>
        <v>1619433.1524847799</v>
      </c>
    </row>
    <row r="51" spans="1:7">
      <c r="A51" s="47" t="s">
        <v>189</v>
      </c>
      <c r="F51" s="62">
        <f>SGS!$F$40</f>
        <v>2.725E-2</v>
      </c>
      <c r="G51" s="7">
        <f>+B17*F51</f>
        <v>399854.15574999998</v>
      </c>
    </row>
  </sheetData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1"/>
  <sheetViews>
    <sheetView topLeftCell="A22" workbookViewId="0">
      <selection activeCell="F45" sqref="F45"/>
    </sheetView>
  </sheetViews>
  <sheetFormatPr defaultRowHeight="12.5"/>
  <cols>
    <col min="1" max="1" width="24.81640625" customWidth="1"/>
    <col min="2" max="2" width="11.26953125" customWidth="1"/>
    <col min="3" max="3" width="12.54296875" customWidth="1"/>
    <col min="4" max="4" width="13.54296875" customWidth="1"/>
    <col min="5" max="5" width="16.26953125" style="16" customWidth="1"/>
    <col min="6" max="6" width="14.1796875" style="16" customWidth="1"/>
    <col min="7" max="7" width="13.5429687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61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53</v>
      </c>
      <c r="B13" s="61">
        <v>652399</v>
      </c>
      <c r="C13" s="161">
        <v>8.634E-2</v>
      </c>
      <c r="D13" s="7">
        <f>+B13*C13</f>
        <v>56328.129659999999</v>
      </c>
      <c r="E13" s="20"/>
      <c r="F13" s="56"/>
      <c r="G13" s="7"/>
    </row>
    <row r="14" spans="1:7">
      <c r="A14" t="s">
        <v>54</v>
      </c>
      <c r="B14" s="61">
        <v>712506</v>
      </c>
      <c r="C14" s="161">
        <v>8.1030000000000005E-2</v>
      </c>
      <c r="D14" s="7">
        <f>+B14*C14</f>
        <v>57734.36118</v>
      </c>
      <c r="E14" s="20"/>
      <c r="F14" s="56"/>
      <c r="G14" s="7"/>
    </row>
    <row r="15" spans="1:7">
      <c r="A15" t="s">
        <v>55</v>
      </c>
      <c r="B15" s="61">
        <v>4535</v>
      </c>
      <c r="C15" s="14"/>
      <c r="D15" s="7"/>
      <c r="E15" s="20"/>
      <c r="F15" s="58"/>
      <c r="G15" s="7"/>
    </row>
    <row r="16" spans="1:7">
      <c r="A16" t="s">
        <v>11</v>
      </c>
      <c r="B16" s="61">
        <v>1369265</v>
      </c>
      <c r="C16" s="14"/>
      <c r="D16" s="7"/>
      <c r="E16" s="20"/>
      <c r="F16" s="58"/>
      <c r="G16" s="7"/>
    </row>
    <row r="17" spans="1:7">
      <c r="B17" s="61"/>
      <c r="C17" s="14"/>
      <c r="D17" s="7"/>
      <c r="E17" s="20"/>
      <c r="F17" s="58"/>
      <c r="G17" s="7"/>
    </row>
    <row r="18" spans="1:7">
      <c r="A18" s="47" t="s">
        <v>282</v>
      </c>
      <c r="B18" s="61"/>
      <c r="C18" s="14"/>
      <c r="D18" s="7"/>
      <c r="E18" s="61">
        <v>307841</v>
      </c>
      <c r="F18" s="56">
        <f>'Rate Input'!C38</f>
        <v>7.1540000000000006E-2</v>
      </c>
      <c r="G18" s="7">
        <f t="shared" ref="G18:G19" si="0">+E18*F18</f>
        <v>22022.945140000003</v>
      </c>
    </row>
    <row r="19" spans="1:7">
      <c r="A19" s="47" t="s">
        <v>283</v>
      </c>
      <c r="B19" s="61"/>
      <c r="C19" s="14"/>
      <c r="D19" s="7"/>
      <c r="E19" s="61">
        <v>1061599</v>
      </c>
      <c r="F19" s="56">
        <f>'Rate Input'!C39</f>
        <v>7.1840000000000001E-2</v>
      </c>
      <c r="G19" s="7">
        <f t="shared" si="0"/>
        <v>76265.272160000008</v>
      </c>
    </row>
    <row r="20" spans="1:7">
      <c r="C20" s="14"/>
      <c r="D20" s="7"/>
      <c r="E20" s="20"/>
      <c r="F20" s="58"/>
      <c r="G20" s="7"/>
    </row>
    <row r="21" spans="1:7">
      <c r="A21" t="s">
        <v>56</v>
      </c>
      <c r="C21" s="14"/>
      <c r="D21" s="7"/>
      <c r="E21" s="20"/>
      <c r="F21" s="58"/>
      <c r="G21" s="7"/>
    </row>
    <row r="22" spans="1:7">
      <c r="A22" t="s">
        <v>57</v>
      </c>
      <c r="B22" s="61">
        <v>4136</v>
      </c>
      <c r="C22" s="162">
        <v>1.83</v>
      </c>
      <c r="D22" s="7">
        <f>+B22*C22</f>
        <v>7568.88</v>
      </c>
      <c r="E22" s="20"/>
      <c r="F22" s="59"/>
      <c r="G22" s="7"/>
    </row>
    <row r="23" spans="1:7">
      <c r="A23" t="s">
        <v>58</v>
      </c>
      <c r="B23" s="61">
        <v>140</v>
      </c>
      <c r="C23" s="162">
        <v>7.95</v>
      </c>
      <c r="D23" s="7">
        <f>+B23*C23</f>
        <v>1113</v>
      </c>
      <c r="E23" s="20"/>
      <c r="F23" s="59"/>
      <c r="G23" s="7"/>
    </row>
    <row r="24" spans="1:7">
      <c r="B24" s="61"/>
      <c r="C24" s="162"/>
      <c r="D24" s="7"/>
      <c r="E24" s="20"/>
      <c r="F24" s="59"/>
      <c r="G24" s="7"/>
    </row>
    <row r="25" spans="1:7">
      <c r="A25" t="s">
        <v>291</v>
      </c>
      <c r="B25" s="61"/>
      <c r="C25" s="162"/>
      <c r="D25" s="7"/>
      <c r="E25" s="61">
        <v>982</v>
      </c>
      <c r="F25" s="59"/>
      <c r="G25" s="7"/>
    </row>
    <row r="26" spans="1:7">
      <c r="A26" t="s">
        <v>290</v>
      </c>
      <c r="B26" s="61"/>
      <c r="C26" s="162"/>
      <c r="D26" s="7"/>
      <c r="E26" s="61">
        <v>3154</v>
      </c>
      <c r="F26" s="59">
        <f>'Rate Input'!D37</f>
        <v>5.74</v>
      </c>
      <c r="G26" s="7">
        <f t="shared" ref="G26" si="1">+E26*F26</f>
        <v>18103.96</v>
      </c>
    </row>
    <row r="27" spans="1:7">
      <c r="B27" s="61"/>
      <c r="C27" s="162"/>
      <c r="D27" s="7"/>
      <c r="E27" s="20"/>
      <c r="F27" s="59"/>
      <c r="G27" s="7"/>
    </row>
    <row r="28" spans="1:7">
      <c r="B28" s="58"/>
      <c r="C28" s="162"/>
      <c r="D28" s="7"/>
      <c r="E28" s="20"/>
      <c r="F28" s="59"/>
      <c r="G28" s="7"/>
    </row>
    <row r="29" spans="1:7">
      <c r="A29" t="s">
        <v>12</v>
      </c>
      <c r="B29" s="61">
        <v>72</v>
      </c>
      <c r="C29" s="162">
        <v>364</v>
      </c>
      <c r="D29" s="7">
        <f>+B29*C29</f>
        <v>26208</v>
      </c>
      <c r="E29" s="20">
        <f>B29</f>
        <v>72</v>
      </c>
      <c r="F29" s="59">
        <f>'Rate Input'!B37</f>
        <v>364</v>
      </c>
      <c r="G29" s="7">
        <f>+E29*F29</f>
        <v>26208</v>
      </c>
    </row>
    <row r="30" spans="1:7">
      <c r="B30" s="58"/>
      <c r="C30" s="47"/>
      <c r="D30" s="7"/>
      <c r="E30" s="20"/>
      <c r="F30" s="58"/>
      <c r="G30" s="7"/>
    </row>
    <row r="31" spans="1:7">
      <c r="A31" t="s">
        <v>13</v>
      </c>
      <c r="B31" s="61">
        <v>72</v>
      </c>
      <c r="C31" s="47"/>
      <c r="D31" s="7"/>
      <c r="E31" s="20">
        <f>B31</f>
        <v>72</v>
      </c>
      <c r="F31" s="58"/>
      <c r="G31" s="7"/>
    </row>
    <row r="32" spans="1:7">
      <c r="C32" s="47"/>
      <c r="D32" s="7"/>
      <c r="E32" s="20"/>
      <c r="F32" s="58"/>
      <c r="G32" s="7"/>
    </row>
    <row r="33" spans="1:7">
      <c r="A33" t="str">
        <f>+RS!A$25</f>
        <v xml:space="preserve">Fuel </v>
      </c>
      <c r="C33" s="177">
        <f>+RS!C25</f>
        <v>1.5985060633393854E-3</v>
      </c>
      <c r="D33" s="7">
        <f>+B16*C33</f>
        <v>2188.7784048184035</v>
      </c>
      <c r="F33" s="62">
        <f>+RS!F25</f>
        <v>1.5985060633393854E-3</v>
      </c>
      <c r="G33" s="7">
        <f>+B16*F33</f>
        <v>2188.7784048184035</v>
      </c>
    </row>
    <row r="34" spans="1:7">
      <c r="D34" s="7"/>
      <c r="G34" s="7"/>
    </row>
    <row r="35" spans="1:7">
      <c r="A35" s="47" t="s">
        <v>263</v>
      </c>
      <c r="D35" s="46">
        <v>140</v>
      </c>
      <c r="G35" s="46">
        <v>0</v>
      </c>
    </row>
    <row r="36" spans="1:7">
      <c r="D36" s="46"/>
      <c r="E36" s="20"/>
      <c r="F36" s="59"/>
      <c r="G36" s="46"/>
    </row>
    <row r="37" spans="1:7">
      <c r="A37" t="str">
        <f>+'MGS-SEC'!A36</f>
        <v>Big Sandy 1 Operations Rider - Energy</v>
      </c>
      <c r="C37" s="161">
        <f>'MGS-SEC'!C36</f>
        <v>1.42E-3</v>
      </c>
      <c r="D37" s="46">
        <v>1940</v>
      </c>
      <c r="E37" s="20"/>
      <c r="F37" s="56"/>
      <c r="G37" s="46">
        <v>0</v>
      </c>
    </row>
    <row r="38" spans="1:7">
      <c r="D38" s="46"/>
      <c r="E38" s="20"/>
      <c r="F38" s="59"/>
      <c r="G38" s="46"/>
    </row>
    <row r="39" spans="1:7">
      <c r="A39" t="str">
        <f>+'MGS-SEC'!A38</f>
        <v>Big Sandy 1 Operations Rider - Demand</v>
      </c>
      <c r="C39" s="162">
        <f>'MGS-SEC'!C38</f>
        <v>0.72</v>
      </c>
      <c r="D39" s="46">
        <v>2305</v>
      </c>
      <c r="E39" s="20"/>
      <c r="F39" s="59"/>
      <c r="G39" s="46">
        <v>0</v>
      </c>
    </row>
    <row r="40" spans="1:7">
      <c r="D40" s="46"/>
      <c r="E40" s="20"/>
      <c r="F40" s="59"/>
      <c r="G40" s="46"/>
    </row>
    <row r="41" spans="1:7">
      <c r="A41" t="str">
        <f>+'MGS-SEC'!A40</f>
        <v xml:space="preserve">Enviromental Surcharge </v>
      </c>
      <c r="C41" s="163">
        <f>'MGS-SEC'!C40</f>
        <v>5.4338999999999998E-2</v>
      </c>
      <c r="D41" s="46">
        <v>3636</v>
      </c>
      <c r="E41" s="7"/>
      <c r="F41" s="80"/>
      <c r="G41" s="46">
        <v>0</v>
      </c>
    </row>
    <row r="42" spans="1:7">
      <c r="A42" s="12"/>
      <c r="B42" s="12"/>
      <c r="C42" s="12"/>
      <c r="D42" s="207"/>
      <c r="E42" s="205"/>
      <c r="F42" s="206"/>
      <c r="G42" s="207"/>
    </row>
    <row r="43" spans="1:7">
      <c r="A43" s="47" t="s">
        <v>261</v>
      </c>
      <c r="D43" s="7">
        <f>SUM(D13:D41)</f>
        <v>159162.1492448184</v>
      </c>
      <c r="G43" s="7">
        <f>SUM(G13:G42)</f>
        <v>144788.95570481842</v>
      </c>
    </row>
    <row r="45" spans="1:7">
      <c r="A45" t="s">
        <v>180</v>
      </c>
      <c r="C45" s="162">
        <v>0.15</v>
      </c>
      <c r="D45" s="7">
        <f>C45*B29</f>
        <v>10.799999999999999</v>
      </c>
      <c r="E45" s="20">
        <f>E29</f>
        <v>72</v>
      </c>
      <c r="F45" s="59">
        <f>SGS!F34</f>
        <v>1</v>
      </c>
      <c r="G45" s="7">
        <f>+E45*F45</f>
        <v>72</v>
      </c>
    </row>
    <row r="47" spans="1:7">
      <c r="A47" t="s">
        <v>286</v>
      </c>
      <c r="E47" s="74">
        <f>G43+G45-G33-G51</f>
        <v>105359.70605000001</v>
      </c>
      <c r="F47" s="195">
        <f>SGS!F36</f>
        <v>1.1413000000000001E-2</v>
      </c>
      <c r="G47" s="7">
        <f>+E47*F47</f>
        <v>1202.4703251486503</v>
      </c>
    </row>
    <row r="48" spans="1:7">
      <c r="A48" s="12"/>
      <c r="B48" s="12"/>
      <c r="C48" s="12"/>
      <c r="D48" s="12"/>
      <c r="E48" s="209"/>
      <c r="F48" s="209"/>
      <c r="G48" s="209"/>
    </row>
    <row r="49" spans="1:7">
      <c r="A49" t="s">
        <v>262</v>
      </c>
      <c r="D49" s="74">
        <f>SUM(D43:D48)</f>
        <v>159172.94924481839</v>
      </c>
      <c r="G49" s="74">
        <f>SUM(G43:G48)</f>
        <v>146063.42602996709</v>
      </c>
    </row>
    <row r="51" spans="1:7">
      <c r="A51" s="47" t="s">
        <v>189</v>
      </c>
      <c r="F51" s="62">
        <f>SGS!$F$40</f>
        <v>2.725E-2</v>
      </c>
      <c r="G51" s="7">
        <f>+B16*F51</f>
        <v>37312.471250000002</v>
      </c>
    </row>
  </sheetData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workbookViewId="0">
      <selection activeCell="F12" sqref="F12"/>
    </sheetView>
  </sheetViews>
  <sheetFormatPr defaultRowHeight="12.5"/>
  <cols>
    <col min="1" max="1" width="23.81640625" customWidth="1"/>
    <col min="2" max="2" width="13.54296875" customWidth="1"/>
    <col min="3" max="3" width="13.1796875" customWidth="1"/>
    <col min="4" max="4" width="15.453125" customWidth="1"/>
    <col min="5" max="5" width="16.26953125" style="16" customWidth="1"/>
    <col min="6" max="6" width="13.81640625" style="16" customWidth="1"/>
    <col min="7" max="7" width="17.269531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4" spans="1:7">
      <c r="D4" s="4"/>
    </row>
    <row r="5" spans="1:7">
      <c r="A5" s="47" t="s">
        <v>227</v>
      </c>
      <c r="D5" s="4"/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109165161</v>
      </c>
      <c r="C12" s="164">
        <v>7.5770000000000004E-2</v>
      </c>
      <c r="D12" s="7">
        <f>+B12*C12</f>
        <v>8271444.2489700001</v>
      </c>
      <c r="E12" s="20">
        <f>B12</f>
        <v>109165161</v>
      </c>
      <c r="F12" s="66">
        <f>'Rate Input'!C52</f>
        <v>7.671E-2</v>
      </c>
      <c r="G12" s="11">
        <f>+E12*F12</f>
        <v>8374059.50031</v>
      </c>
    </row>
    <row r="13" spans="1:7">
      <c r="A13" t="s">
        <v>105</v>
      </c>
      <c r="B13" s="61">
        <v>547100</v>
      </c>
      <c r="C13" s="47"/>
      <c r="D13" s="7"/>
      <c r="E13" s="20">
        <f>B13</f>
        <v>547100</v>
      </c>
      <c r="F13" s="58"/>
      <c r="G13" s="11"/>
    </row>
    <row r="14" spans="1:7">
      <c r="A14" t="s">
        <v>11</v>
      </c>
      <c r="B14" s="4">
        <f>SUM(B12:B13)</f>
        <v>109712261</v>
      </c>
      <c r="C14" s="47"/>
      <c r="D14" s="7"/>
      <c r="E14" s="20">
        <f>SUM(E12:E13)</f>
        <v>109712261</v>
      </c>
      <c r="F14" s="58"/>
      <c r="G14" s="11"/>
    </row>
    <row r="15" spans="1:7">
      <c r="B15" s="4"/>
      <c r="C15" s="47"/>
      <c r="D15" s="7"/>
      <c r="E15" s="20"/>
      <c r="F15" s="58"/>
      <c r="G15" s="11"/>
    </row>
    <row r="16" spans="1:7">
      <c r="A16" t="s">
        <v>56</v>
      </c>
      <c r="B16" s="61">
        <v>424786</v>
      </c>
      <c r="C16" s="165">
        <v>4.67</v>
      </c>
      <c r="D16" s="7">
        <f>+B16*C16</f>
        <v>1983750.6199999999</v>
      </c>
      <c r="E16" s="20">
        <f>B16</f>
        <v>424786</v>
      </c>
      <c r="F16" s="67">
        <f>'Rate Input'!D52</f>
        <v>7.97</v>
      </c>
      <c r="G16" s="11">
        <f>+E16*F16</f>
        <v>3385544.42</v>
      </c>
    </row>
    <row r="17" spans="1:7">
      <c r="B17" s="58"/>
      <c r="C17" s="65"/>
      <c r="D17" s="7"/>
      <c r="E17" s="20"/>
      <c r="F17" s="67"/>
      <c r="G17" s="11"/>
    </row>
    <row r="18" spans="1:7">
      <c r="A18" t="s">
        <v>104</v>
      </c>
      <c r="B18" s="61">
        <v>6066</v>
      </c>
      <c r="C18" s="165">
        <v>3.46</v>
      </c>
      <c r="D18" s="7">
        <f>+B18*C18</f>
        <v>20988.36</v>
      </c>
      <c r="E18" s="20">
        <f>B18</f>
        <v>6066</v>
      </c>
      <c r="F18" s="67">
        <f>'Rate Input'!E52</f>
        <v>3.46</v>
      </c>
      <c r="G18" s="11">
        <f>+E18*F18</f>
        <v>20988.36</v>
      </c>
    </row>
    <row r="19" spans="1:7">
      <c r="B19" s="58"/>
      <c r="C19" s="65"/>
      <c r="D19" s="7"/>
      <c r="E19" s="20"/>
      <c r="F19" s="67"/>
      <c r="G19" s="11"/>
    </row>
    <row r="20" spans="1:7">
      <c r="A20" t="s">
        <v>12</v>
      </c>
      <c r="B20" s="61">
        <v>1932</v>
      </c>
      <c r="C20" s="165">
        <v>85</v>
      </c>
      <c r="D20" s="7">
        <f>+B20*C20</f>
        <v>164220</v>
      </c>
      <c r="E20" s="20">
        <f>B20</f>
        <v>1932</v>
      </c>
      <c r="F20" s="67">
        <f>'Rate Input'!B52</f>
        <v>85</v>
      </c>
      <c r="G20" s="11">
        <f>+E20*F20</f>
        <v>164220</v>
      </c>
    </row>
    <row r="21" spans="1:7">
      <c r="B21" s="58"/>
      <c r="C21" s="47"/>
      <c r="D21" s="7"/>
      <c r="E21" s="20"/>
      <c r="F21" s="58"/>
      <c r="G21" s="7"/>
    </row>
    <row r="22" spans="1:7">
      <c r="A22" t="s">
        <v>13</v>
      </c>
      <c r="B22" s="61">
        <v>1932</v>
      </c>
      <c r="C22" s="47"/>
      <c r="D22" s="7"/>
      <c r="E22" s="20">
        <f>B22</f>
        <v>1932</v>
      </c>
      <c r="F22" s="58"/>
      <c r="G22" s="7"/>
    </row>
    <row r="23" spans="1:7">
      <c r="C23" s="47"/>
      <c r="D23" s="7"/>
      <c r="E23" s="20"/>
      <c r="F23" s="58"/>
      <c r="G23" s="7"/>
    </row>
    <row r="24" spans="1:7">
      <c r="A24" t="str">
        <f>+RS!A$25</f>
        <v xml:space="preserve">Fuel </v>
      </c>
      <c r="C24" s="177">
        <f>+RS!C25</f>
        <v>1.5985060633393854E-3</v>
      </c>
      <c r="D24" s="7">
        <f>+B14*C24</f>
        <v>175375.71443117317</v>
      </c>
      <c r="F24" s="62">
        <f>+RS!F25</f>
        <v>1.5985060633393854E-3</v>
      </c>
      <c r="G24" s="7">
        <f>+E14*F24</f>
        <v>175375.71443117317</v>
      </c>
    </row>
    <row r="25" spans="1:7">
      <c r="D25" s="7"/>
      <c r="F25" s="63"/>
      <c r="G25" s="7"/>
    </row>
    <row r="26" spans="1:7">
      <c r="A26" s="47" t="s">
        <v>263</v>
      </c>
      <c r="D26" s="46">
        <v>9968</v>
      </c>
      <c r="F26" s="63"/>
      <c r="G26" s="46">
        <v>0</v>
      </c>
    </row>
    <row r="27" spans="1:7">
      <c r="D27" s="46"/>
      <c r="E27" s="20"/>
      <c r="F27" s="67"/>
      <c r="G27" s="46"/>
    </row>
    <row r="28" spans="1:7">
      <c r="A28" t="str">
        <f>+'MGS-SEC'!A36</f>
        <v>Big Sandy 1 Operations Rider - Energy</v>
      </c>
      <c r="C28" s="164">
        <v>1.42E-3</v>
      </c>
      <c r="D28" s="46">
        <v>154533</v>
      </c>
      <c r="E28" s="20"/>
      <c r="F28" s="66"/>
      <c r="G28" s="46">
        <v>0</v>
      </c>
    </row>
    <row r="29" spans="1:7">
      <c r="D29" s="46"/>
      <c r="E29" s="20"/>
      <c r="F29" s="67"/>
      <c r="G29" s="46"/>
    </row>
    <row r="30" spans="1:7">
      <c r="A30" t="str">
        <f>+'MGS-SEC'!A38</f>
        <v>Big Sandy 1 Operations Rider - Demand</v>
      </c>
      <c r="C30" s="165">
        <v>0.92</v>
      </c>
      <c r="D30" s="46">
        <v>311506</v>
      </c>
      <c r="E30" s="20"/>
      <c r="F30" s="67"/>
      <c r="G30" s="46">
        <v>0</v>
      </c>
    </row>
    <row r="31" spans="1:7">
      <c r="D31" s="46"/>
      <c r="E31" s="20"/>
      <c r="F31" s="67"/>
      <c r="G31" s="46"/>
    </row>
    <row r="32" spans="1:7">
      <c r="A32" t="str">
        <f>+'MGS-SEC'!A40</f>
        <v xml:space="preserve">Enviromental Surcharge </v>
      </c>
      <c r="C32" s="163">
        <v>5.4338999999999998E-2</v>
      </c>
      <c r="D32" s="46">
        <v>248247</v>
      </c>
      <c r="E32" s="7"/>
      <c r="F32" s="80"/>
      <c r="G32" s="46">
        <v>0</v>
      </c>
    </row>
    <row r="33" spans="1:7">
      <c r="A33" s="12"/>
      <c r="B33" s="12"/>
      <c r="C33" s="12"/>
      <c r="D33" s="207"/>
      <c r="E33" s="205"/>
      <c r="F33" s="206"/>
      <c r="G33" s="207"/>
    </row>
    <row r="34" spans="1:7">
      <c r="A34" s="47" t="s">
        <v>261</v>
      </c>
      <c r="D34" s="7">
        <f>SUM(D12:D33)</f>
        <v>11340032.943401173</v>
      </c>
      <c r="G34" s="7">
        <f>SUM(G12:G33)</f>
        <v>12120187.994741172</v>
      </c>
    </row>
    <row r="36" spans="1:7">
      <c r="A36" t="s">
        <v>180</v>
      </c>
      <c r="C36" s="165">
        <v>0.15</v>
      </c>
      <c r="D36" s="7">
        <f>C36*B20</f>
        <v>289.8</v>
      </c>
      <c r="E36" s="20">
        <f>E20</f>
        <v>1932</v>
      </c>
      <c r="F36" s="67">
        <f>SGS!F34</f>
        <v>1</v>
      </c>
      <c r="G36" s="7">
        <f>+E36*F36</f>
        <v>1932</v>
      </c>
    </row>
    <row r="38" spans="1:7">
      <c r="A38" t="s">
        <v>286</v>
      </c>
      <c r="E38" s="74">
        <f>G34+G36-G24-G42</f>
        <v>8957085.1680599973</v>
      </c>
      <c r="F38" s="195">
        <f>SGS!F36</f>
        <v>1.1413000000000001E-2</v>
      </c>
      <c r="G38" s="7">
        <f>+E38*F38</f>
        <v>102227.21302306876</v>
      </c>
    </row>
    <row r="39" spans="1:7">
      <c r="A39" s="12"/>
      <c r="B39" s="12"/>
      <c r="C39" s="12"/>
      <c r="D39" s="12"/>
      <c r="E39" s="209"/>
      <c r="F39" s="209"/>
      <c r="G39" s="209"/>
    </row>
    <row r="40" spans="1:7">
      <c r="A40" t="s">
        <v>262</v>
      </c>
      <c r="D40" s="74">
        <f>SUM(D34:D39)</f>
        <v>11340322.743401174</v>
      </c>
      <c r="G40" s="74">
        <f>SUM(G34:G39)</f>
        <v>12224347.20776424</v>
      </c>
    </row>
    <row r="42" spans="1:7">
      <c r="A42" s="47" t="s">
        <v>189</v>
      </c>
      <c r="F42" s="62">
        <f>SGS!$F$40</f>
        <v>2.725E-2</v>
      </c>
      <c r="G42" s="7">
        <f>+E14*F42</f>
        <v>2989659.1122499998</v>
      </c>
    </row>
  </sheetData>
  <pageMargins left="0.75" right="0.75" top="1" bottom="1" header="0.5" footer="0.5"/>
  <pageSetup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N29" sqref="A29:N30"/>
    </sheetView>
  </sheetViews>
  <sheetFormatPr defaultRowHeight="12.5"/>
  <cols>
    <col min="1" max="1" width="23.1796875" customWidth="1"/>
    <col min="2" max="2" width="11.7265625" customWidth="1"/>
    <col min="3" max="3" width="12.26953125" customWidth="1"/>
    <col min="4" max="4" width="15.26953125" customWidth="1"/>
    <col min="5" max="5" width="16.26953125" style="16" customWidth="1"/>
    <col min="6" max="6" width="13.1796875" style="16" customWidth="1"/>
    <col min="7" max="7" width="15.179687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s="47" t="s">
        <v>228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1855532</v>
      </c>
      <c r="C12" s="164">
        <v>6.4199999999999993E-2</v>
      </c>
      <c r="D12" s="7">
        <f>+B12*C12</f>
        <v>119125.15439999998</v>
      </c>
      <c r="E12" s="20">
        <f>B12</f>
        <v>1855532</v>
      </c>
      <c r="F12" s="66">
        <f>'Rate Input'!C53</f>
        <v>6.7089999999999997E-2</v>
      </c>
      <c r="G12" s="7">
        <f>+E12*F12</f>
        <v>124487.64188</v>
      </c>
    </row>
    <row r="13" spans="1:7">
      <c r="A13" t="s">
        <v>105</v>
      </c>
      <c r="B13" s="61">
        <v>0</v>
      </c>
      <c r="C13" s="47"/>
      <c r="D13" s="7"/>
      <c r="E13" s="20">
        <f>B13</f>
        <v>0</v>
      </c>
      <c r="F13" s="58"/>
      <c r="G13" s="7"/>
    </row>
    <row r="14" spans="1:7">
      <c r="A14" t="s">
        <v>11</v>
      </c>
      <c r="B14" s="4">
        <f>SUM(B12:B13)</f>
        <v>1855532</v>
      </c>
      <c r="C14" s="47"/>
      <c r="D14" s="7"/>
      <c r="E14" s="20">
        <f>B14</f>
        <v>1855532</v>
      </c>
      <c r="F14" s="58"/>
      <c r="G14" s="7"/>
    </row>
    <row r="15" spans="1:7">
      <c r="C15" s="47"/>
      <c r="D15" s="7"/>
      <c r="E15" s="20"/>
      <c r="F15" s="58"/>
      <c r="G15" s="7"/>
    </row>
    <row r="16" spans="1:7">
      <c r="A16" t="s">
        <v>56</v>
      </c>
      <c r="B16" s="61">
        <v>6136</v>
      </c>
      <c r="C16" s="165">
        <v>4.53</v>
      </c>
      <c r="D16" s="7">
        <f>+B16*C16</f>
        <v>27796.080000000002</v>
      </c>
      <c r="E16" s="20">
        <f>B16</f>
        <v>6136</v>
      </c>
      <c r="F16" s="67">
        <f>'LGS-PRI'!F16</f>
        <v>7.18</v>
      </c>
      <c r="G16" s="7">
        <f>+E16*F16</f>
        <v>44056.479999999996</v>
      </c>
    </row>
    <row r="17" spans="1:7">
      <c r="B17" s="58"/>
      <c r="C17" s="65"/>
      <c r="D17" s="7"/>
      <c r="E17" s="20">
        <f>B17</f>
        <v>0</v>
      </c>
      <c r="F17" s="67"/>
      <c r="G17" s="7"/>
    </row>
    <row r="18" spans="1:7">
      <c r="A18" t="s">
        <v>104</v>
      </c>
      <c r="B18" s="61">
        <v>658.6</v>
      </c>
      <c r="C18" s="165">
        <v>3.46</v>
      </c>
      <c r="D18" s="7">
        <f>+B18*C18</f>
        <v>2278.7559999999999</v>
      </c>
      <c r="E18" s="20">
        <f>B18</f>
        <v>658.6</v>
      </c>
      <c r="F18" s="67">
        <f>'LGS-PRI'!F18</f>
        <v>3.46</v>
      </c>
      <c r="G18" s="7">
        <f>+E18*F18</f>
        <v>2278.7559999999999</v>
      </c>
    </row>
    <row r="19" spans="1:7">
      <c r="B19" s="58"/>
      <c r="C19" s="65"/>
      <c r="D19" s="7"/>
      <c r="E19" s="20"/>
      <c r="F19" s="67"/>
      <c r="G19" s="7"/>
    </row>
    <row r="20" spans="1:7">
      <c r="A20" t="s">
        <v>12</v>
      </c>
      <c r="B20" s="61">
        <v>12</v>
      </c>
      <c r="C20" s="165">
        <v>127.5</v>
      </c>
      <c r="D20" s="7">
        <f>+B20*C20</f>
        <v>1530</v>
      </c>
      <c r="E20" s="20">
        <f>B20</f>
        <v>12</v>
      </c>
      <c r="F20" s="67">
        <f>'LGS-PRI'!F20</f>
        <v>127.5</v>
      </c>
      <c r="G20" s="7">
        <f>+E20*F20</f>
        <v>1530</v>
      </c>
    </row>
    <row r="21" spans="1:7">
      <c r="B21" s="58"/>
      <c r="C21" s="47"/>
      <c r="D21" s="7"/>
      <c r="E21" s="20"/>
      <c r="F21" s="58"/>
      <c r="G21" s="7"/>
    </row>
    <row r="22" spans="1:7">
      <c r="A22" t="s">
        <v>13</v>
      </c>
      <c r="B22" s="61">
        <v>12</v>
      </c>
      <c r="C22" s="47"/>
      <c r="D22" s="7"/>
      <c r="E22" s="20">
        <f>B22</f>
        <v>12</v>
      </c>
      <c r="F22" s="58"/>
      <c r="G22" s="7"/>
    </row>
    <row r="23" spans="1:7">
      <c r="C23" s="47"/>
      <c r="D23" s="7"/>
      <c r="F23" s="58"/>
      <c r="G23" s="7"/>
    </row>
    <row r="24" spans="1:7">
      <c r="A24" t="str">
        <f>+RS!A$25</f>
        <v xml:space="preserve">Fuel </v>
      </c>
      <c r="C24" s="177">
        <f>+RS!C25</f>
        <v>1.5985060633393854E-3</v>
      </c>
      <c r="D24" s="7">
        <f>+B14*C24</f>
        <v>2966.0791527202564</v>
      </c>
      <c r="F24" s="62">
        <f>+RS!F25</f>
        <v>1.5985060633393854E-3</v>
      </c>
      <c r="G24" s="7">
        <f>+E14*F24</f>
        <v>2966.0791527202564</v>
      </c>
    </row>
    <row r="25" spans="1:7">
      <c r="D25" s="7"/>
      <c r="F25" s="63"/>
      <c r="G25" s="7"/>
    </row>
    <row r="26" spans="1:7">
      <c r="A26" s="47" t="s">
        <v>263</v>
      </c>
      <c r="D26" s="46">
        <v>156</v>
      </c>
      <c r="F26" s="63"/>
      <c r="G26" s="46">
        <v>0</v>
      </c>
    </row>
    <row r="27" spans="1:7">
      <c r="D27" s="46"/>
      <c r="E27" s="20"/>
      <c r="F27" s="67"/>
      <c r="G27" s="46"/>
    </row>
    <row r="28" spans="1:7">
      <c r="A28" t="str">
        <f>+'LGS-SEC'!A28</f>
        <v>Big Sandy 1 Operations Rider - Energy</v>
      </c>
      <c r="C28" s="164">
        <f>'School Sec'!C28</f>
        <v>1.42E-3</v>
      </c>
      <c r="D28" s="46">
        <v>2615</v>
      </c>
      <c r="E28" s="20"/>
      <c r="F28" s="66"/>
      <c r="G28" s="46">
        <v>0</v>
      </c>
    </row>
    <row r="29" spans="1:7">
      <c r="D29" s="46"/>
      <c r="E29" s="20"/>
      <c r="F29" s="67"/>
      <c r="G29" s="46"/>
    </row>
    <row r="30" spans="1:7">
      <c r="A30" t="str">
        <f>+'LGS-SEC'!A30</f>
        <v>Big Sandy 1 Operations Rider - Demand</v>
      </c>
      <c r="C30" s="165">
        <f>'School Sec'!C30</f>
        <v>0.92</v>
      </c>
      <c r="D30" s="46">
        <v>4545</v>
      </c>
      <c r="E30" s="20"/>
      <c r="F30" s="67"/>
      <c r="G30" s="46">
        <v>0</v>
      </c>
    </row>
    <row r="31" spans="1:7">
      <c r="D31" s="46"/>
      <c r="E31" s="20"/>
      <c r="F31" s="65"/>
      <c r="G31" s="46"/>
    </row>
    <row r="32" spans="1:7">
      <c r="A32" s="47" t="s">
        <v>265</v>
      </c>
      <c r="C32" s="163">
        <f>'School Sec'!C32</f>
        <v>5.4338999999999998E-2</v>
      </c>
      <c r="D32" s="46">
        <v>3433</v>
      </c>
      <c r="E32" s="7"/>
      <c r="F32" s="80"/>
      <c r="G32" s="46">
        <v>0</v>
      </c>
    </row>
    <row r="33" spans="1:7">
      <c r="A33" s="12"/>
      <c r="B33" s="12"/>
      <c r="C33" s="12"/>
      <c r="D33" s="13"/>
      <c r="E33" s="209"/>
      <c r="F33" s="209"/>
      <c r="G33" s="13"/>
    </row>
    <row r="34" spans="1:7">
      <c r="A34" s="47" t="s">
        <v>261</v>
      </c>
      <c r="D34" s="7">
        <f>SUM(D12:D32)</f>
        <v>164445.06955272023</v>
      </c>
      <c r="G34" s="7">
        <f>SUM(G12:G32)</f>
        <v>175318.95703272024</v>
      </c>
    </row>
    <row r="36" spans="1:7">
      <c r="A36" t="s">
        <v>180</v>
      </c>
      <c r="C36" s="165">
        <v>0.15</v>
      </c>
      <c r="D36" s="7">
        <f>C36*B20</f>
        <v>1.7999999999999998</v>
      </c>
      <c r="E36" s="20">
        <f>E20</f>
        <v>12</v>
      </c>
      <c r="F36" s="67">
        <f>SGS!F34</f>
        <v>1</v>
      </c>
      <c r="G36" s="7">
        <f>+E36*F36</f>
        <v>12</v>
      </c>
    </row>
    <row r="38" spans="1:7">
      <c r="A38" t="s">
        <v>286</v>
      </c>
      <c r="E38" s="74">
        <f>G34+G36-G24-G42</f>
        <v>121801.63087999998</v>
      </c>
      <c r="F38" s="195">
        <f>SGS!F36</f>
        <v>1.1413000000000001E-2</v>
      </c>
      <c r="G38" s="7">
        <f>+E38*F38</f>
        <v>1390.1220132334399</v>
      </c>
    </row>
    <row r="39" spans="1:7">
      <c r="A39" s="12"/>
      <c r="B39" s="12"/>
      <c r="C39" s="12"/>
      <c r="D39" s="12"/>
      <c r="E39" s="209"/>
      <c r="F39" s="209"/>
      <c r="G39" s="209"/>
    </row>
    <row r="40" spans="1:7">
      <c r="A40" t="s">
        <v>262</v>
      </c>
      <c r="D40" s="74">
        <f>SUM(D34:D39)</f>
        <v>164446.86955272022</v>
      </c>
      <c r="G40" s="74">
        <f>SUM(G34:G39)</f>
        <v>176721.07904595367</v>
      </c>
    </row>
    <row r="42" spans="1:7">
      <c r="A42" s="47" t="s">
        <v>189</v>
      </c>
      <c r="C42" s="15"/>
      <c r="F42" s="62">
        <f>SGS!$F$40</f>
        <v>2.725E-2</v>
      </c>
      <c r="G42" s="7">
        <f>+E14*F42</f>
        <v>50563.247000000003</v>
      </c>
    </row>
  </sheetData>
  <pageMargins left="0.75" right="0.75" top="1" bottom="1" header="0.5" footer="0.5"/>
  <pageSetup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topLeftCell="A13" workbookViewId="0">
      <selection activeCell="F36" sqref="F36"/>
    </sheetView>
  </sheetViews>
  <sheetFormatPr defaultRowHeight="12.5"/>
  <cols>
    <col min="1" max="1" width="24.54296875" customWidth="1"/>
    <col min="2" max="2" width="13.54296875" customWidth="1"/>
    <col min="3" max="3" width="13.1796875" customWidth="1"/>
    <col min="4" max="4" width="15.453125" customWidth="1"/>
    <col min="5" max="5" width="16.26953125" style="16" customWidth="1"/>
    <col min="6" max="6" width="13.81640625" style="16" customWidth="1"/>
    <col min="7" max="7" width="17.26953125" style="16" customWidth="1"/>
    <col min="8" max="8" width="12.81640625" style="16" bestFit="1" customWidth="1"/>
    <col min="9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4" spans="1:7">
      <c r="D4" s="4"/>
    </row>
    <row r="5" spans="1:7">
      <c r="A5" t="s">
        <v>62</v>
      </c>
      <c r="D5" s="4"/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400024463</v>
      </c>
      <c r="C12" s="164">
        <v>7.9659999999999995E-2</v>
      </c>
      <c r="D12" s="7">
        <f>+B12*C12</f>
        <v>31865948.722579997</v>
      </c>
      <c r="E12" s="20">
        <f>B12</f>
        <v>400024463</v>
      </c>
      <c r="F12" s="66">
        <f>'Rate Input'!C41</f>
        <v>8.1339999999999996E-2</v>
      </c>
      <c r="G12" s="11">
        <f>+E12*F12</f>
        <v>32537989.820419997</v>
      </c>
    </row>
    <row r="13" spans="1:7">
      <c r="A13" t="s">
        <v>105</v>
      </c>
      <c r="B13" s="61">
        <v>58996</v>
      </c>
      <c r="C13" s="47"/>
      <c r="D13" s="7"/>
      <c r="E13" s="20">
        <f>B13</f>
        <v>58996</v>
      </c>
      <c r="F13" s="58"/>
      <c r="G13" s="11"/>
    </row>
    <row r="14" spans="1:7">
      <c r="A14" t="s">
        <v>11</v>
      </c>
      <c r="B14" s="4">
        <f>SUM(B12:B13)</f>
        <v>400083459</v>
      </c>
      <c r="C14" s="47"/>
      <c r="D14" s="7"/>
      <c r="E14" s="20">
        <f>SUM(E12:E13)</f>
        <v>400083459</v>
      </c>
      <c r="F14" s="58"/>
      <c r="G14" s="11"/>
    </row>
    <row r="15" spans="1:7">
      <c r="B15" s="4"/>
      <c r="C15" s="47"/>
      <c r="D15" s="7"/>
      <c r="E15" s="20"/>
      <c r="F15" s="58"/>
      <c r="G15" s="11"/>
    </row>
    <row r="16" spans="1:7">
      <c r="A16" t="s">
        <v>56</v>
      </c>
      <c r="B16" s="61">
        <v>1085356</v>
      </c>
      <c r="C16" s="165">
        <v>4.67</v>
      </c>
      <c r="D16" s="7">
        <f>+B16*C16</f>
        <v>5068612.5199999996</v>
      </c>
      <c r="E16" s="20">
        <f>B16</f>
        <v>1085356</v>
      </c>
      <c r="F16" s="67">
        <f>'Rate Input'!D41</f>
        <v>7.97</v>
      </c>
      <c r="G16" s="11">
        <f>+E16*F16</f>
        <v>8650287.3200000003</v>
      </c>
    </row>
    <row r="17" spans="1:8">
      <c r="B17" s="58"/>
      <c r="C17" s="165"/>
      <c r="D17" s="7"/>
      <c r="E17" s="20"/>
      <c r="F17" s="67"/>
      <c r="G17" s="11"/>
    </row>
    <row r="18" spans="1:8">
      <c r="A18" t="s">
        <v>104</v>
      </c>
      <c r="B18" s="61">
        <v>40806</v>
      </c>
      <c r="C18" s="165">
        <v>3.46</v>
      </c>
      <c r="D18" s="7">
        <f>+B18*C18</f>
        <v>141188.76</v>
      </c>
      <c r="E18" s="20">
        <f>B18</f>
        <v>40806</v>
      </c>
      <c r="F18" s="67">
        <f>'Rate Input'!E41</f>
        <v>3.46</v>
      </c>
      <c r="G18" s="11">
        <f>+E18*F18</f>
        <v>141188.76</v>
      </c>
    </row>
    <row r="19" spans="1:8">
      <c r="B19" s="58"/>
      <c r="C19" s="165"/>
      <c r="D19" s="7"/>
      <c r="E19" s="20"/>
      <c r="F19" s="67"/>
      <c r="G19" s="11"/>
    </row>
    <row r="20" spans="1:8">
      <c r="A20" t="s">
        <v>12</v>
      </c>
      <c r="B20" s="61">
        <v>6951</v>
      </c>
      <c r="C20" s="165">
        <v>85</v>
      </c>
      <c r="D20" s="7">
        <f>+B20*C20</f>
        <v>590835</v>
      </c>
      <c r="E20" s="20">
        <f>B20</f>
        <v>6951</v>
      </c>
      <c r="F20" s="67">
        <f>'Rate Input'!B41</f>
        <v>85</v>
      </c>
      <c r="G20" s="11">
        <f>+E20*F20</f>
        <v>590835</v>
      </c>
    </row>
    <row r="21" spans="1:8">
      <c r="B21" s="58"/>
      <c r="C21" s="47"/>
      <c r="D21" s="7"/>
      <c r="E21" s="20"/>
      <c r="F21" s="58"/>
      <c r="G21" s="7"/>
    </row>
    <row r="22" spans="1:8">
      <c r="A22" t="s">
        <v>13</v>
      </c>
      <c r="B22" s="61">
        <v>6948</v>
      </c>
      <c r="C22" s="47"/>
      <c r="D22" s="7"/>
      <c r="E22" s="20">
        <f>B22</f>
        <v>6948</v>
      </c>
      <c r="F22" s="58"/>
      <c r="G22" s="7"/>
    </row>
    <row r="23" spans="1:8">
      <c r="C23" s="47"/>
      <c r="D23" s="7"/>
      <c r="E23" s="20"/>
      <c r="F23" s="58"/>
      <c r="G23" s="7"/>
    </row>
    <row r="24" spans="1:8">
      <c r="A24" t="str">
        <f>+RS!A$25</f>
        <v xml:space="preserve">Fuel </v>
      </c>
      <c r="C24" s="177">
        <f>+RS!C25</f>
        <v>1.5985060633393854E-3</v>
      </c>
      <c r="D24" s="7">
        <f>+B14*C24</f>
        <v>639535.83505329443</v>
      </c>
      <c r="F24" s="62">
        <f>+RS!F25</f>
        <v>1.5985060633393854E-3</v>
      </c>
      <c r="G24" s="7">
        <f>+E14*F24</f>
        <v>639535.83505329443</v>
      </c>
      <c r="H24" s="74">
        <f>G24+'School Sec'!G24</f>
        <v>814911.5494844676</v>
      </c>
    </row>
    <row r="25" spans="1:8">
      <c r="D25" s="7"/>
      <c r="F25" s="63"/>
      <c r="G25" s="7"/>
    </row>
    <row r="26" spans="1:8">
      <c r="A26" s="47" t="s">
        <v>263</v>
      </c>
      <c r="D26" s="46">
        <v>35418</v>
      </c>
      <c r="F26" s="63"/>
      <c r="G26" s="46">
        <v>0</v>
      </c>
    </row>
    <row r="27" spans="1:8">
      <c r="D27" s="46"/>
      <c r="E27" s="20"/>
      <c r="F27" s="67"/>
      <c r="G27" s="46"/>
    </row>
    <row r="28" spans="1:8">
      <c r="A28" t="str">
        <f>+'MGS-SEC'!A36</f>
        <v>Big Sandy 1 Operations Rider - Energy</v>
      </c>
      <c r="C28" s="164">
        <v>1.42E-3</v>
      </c>
      <c r="D28" s="46">
        <v>562982</v>
      </c>
      <c r="E28" s="20"/>
      <c r="F28" s="66"/>
      <c r="G28" s="46">
        <v>0</v>
      </c>
    </row>
    <row r="29" spans="1:8">
      <c r="D29" s="46"/>
      <c r="E29" s="20"/>
      <c r="F29" s="67"/>
      <c r="G29" s="46"/>
    </row>
    <row r="30" spans="1:8">
      <c r="A30" t="str">
        <f>+'MGS-SEC'!A38</f>
        <v>Big Sandy 1 Operations Rider - Demand</v>
      </c>
      <c r="C30" s="165">
        <v>0.92</v>
      </c>
      <c r="D30" s="46">
        <v>800057</v>
      </c>
      <c r="E30" s="20"/>
      <c r="F30" s="67"/>
      <c r="G30" s="46">
        <v>0</v>
      </c>
    </row>
    <row r="31" spans="1:8">
      <c r="D31" s="46"/>
      <c r="E31" s="20"/>
      <c r="F31" s="67"/>
      <c r="G31" s="46"/>
    </row>
    <row r="32" spans="1:8">
      <c r="A32" t="str">
        <f>+'MGS-SEC'!A40</f>
        <v xml:space="preserve">Enviromental Surcharge </v>
      </c>
      <c r="C32" s="163">
        <v>5.4338999999999998E-2</v>
      </c>
      <c r="D32" s="46">
        <v>911367</v>
      </c>
      <c r="E32" s="74"/>
      <c r="F32" s="80"/>
      <c r="G32" s="46">
        <v>0</v>
      </c>
    </row>
    <row r="33" spans="1:7">
      <c r="A33" s="12"/>
      <c r="B33" s="12"/>
      <c r="C33" s="12"/>
      <c r="D33" s="13"/>
      <c r="E33" s="209"/>
      <c r="F33" s="209"/>
      <c r="G33" s="13"/>
    </row>
    <row r="34" spans="1:7">
      <c r="A34" s="47" t="s">
        <v>261</v>
      </c>
      <c r="D34" s="7">
        <f>SUM(D12:D32)</f>
        <v>40615944.837633289</v>
      </c>
      <c r="G34" s="7">
        <f>SUM(G12:G32)</f>
        <v>42559836.73547329</v>
      </c>
    </row>
    <row r="36" spans="1:7">
      <c r="A36" t="s">
        <v>180</v>
      </c>
      <c r="C36">
        <v>0.15</v>
      </c>
      <c r="D36" s="46">
        <f>C36*B20</f>
        <v>1042.6499999999999</v>
      </c>
      <c r="E36" s="20">
        <f>E20</f>
        <v>6951</v>
      </c>
      <c r="F36" s="67">
        <f>SGS!F34</f>
        <v>1</v>
      </c>
      <c r="G36" s="7">
        <f>+E36*F36</f>
        <v>6951</v>
      </c>
    </row>
    <row r="38" spans="1:7">
      <c r="A38" t="s">
        <v>279</v>
      </c>
      <c r="E38" s="74">
        <f>G34+G36-G24-G42</f>
        <v>31024977.642669994</v>
      </c>
      <c r="F38" s="195">
        <f>SGS!F36</f>
        <v>1.1413000000000001E-2</v>
      </c>
      <c r="G38" s="7">
        <f>+E38*F38</f>
        <v>354088.0698357927</v>
      </c>
    </row>
    <row r="39" spans="1:7">
      <c r="A39" s="12"/>
      <c r="B39" s="12"/>
      <c r="C39" s="12"/>
      <c r="D39" s="12"/>
      <c r="E39" s="209"/>
      <c r="F39" s="209"/>
      <c r="G39" s="209"/>
    </row>
    <row r="40" spans="1:7">
      <c r="A40" t="s">
        <v>262</v>
      </c>
      <c r="D40" s="74">
        <f>SUM(D34:D39)</f>
        <v>40616987.487633288</v>
      </c>
      <c r="G40" s="74">
        <f>SUM(G34:G39)</f>
        <v>42920875.80530908</v>
      </c>
    </row>
    <row r="42" spans="1:7">
      <c r="A42" s="47" t="s">
        <v>189</v>
      </c>
      <c r="F42" s="62">
        <f>SGS!$F$40</f>
        <v>2.725E-2</v>
      </c>
      <c r="G42" s="7">
        <f>+E14*F42</f>
        <v>10902274.257750001</v>
      </c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8"/>
  <sheetViews>
    <sheetView topLeftCell="A10" workbookViewId="0">
      <selection activeCell="F32" sqref="F32"/>
    </sheetView>
  </sheetViews>
  <sheetFormatPr defaultRowHeight="12.5"/>
  <cols>
    <col min="1" max="1" width="24.81640625" customWidth="1"/>
    <col min="2" max="2" width="11.81640625" customWidth="1"/>
    <col min="3" max="3" width="13.1796875" customWidth="1"/>
    <col min="4" max="4" width="13.7265625" customWidth="1"/>
    <col min="5" max="5" width="16.26953125" style="16" customWidth="1"/>
    <col min="6" max="7" width="14.4531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106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  <c r="G12" s="79"/>
    </row>
    <row r="13" spans="1:7">
      <c r="A13" t="s">
        <v>21</v>
      </c>
      <c r="B13" s="61">
        <v>851281</v>
      </c>
      <c r="C13" s="164">
        <v>0.13136</v>
      </c>
      <c r="D13" s="7">
        <f>+B13*C13</f>
        <v>111824.27216000001</v>
      </c>
      <c r="E13" s="20">
        <f>+B13</f>
        <v>851281</v>
      </c>
      <c r="F13" s="66">
        <f>'Rate Input'!C43</f>
        <v>0.14671999999999999</v>
      </c>
      <c r="G13" s="11">
        <f>+E13*F13</f>
        <v>124899.94832</v>
      </c>
    </row>
    <row r="14" spans="1:7">
      <c r="A14" t="s">
        <v>22</v>
      </c>
      <c r="B14" s="61">
        <v>1079454</v>
      </c>
      <c r="C14" s="164">
        <v>5.3249999999999999E-2</v>
      </c>
      <c r="D14" s="7">
        <f>+B14*C14</f>
        <v>57480.925499999998</v>
      </c>
      <c r="E14" s="20">
        <f>+B14</f>
        <v>1079454</v>
      </c>
      <c r="F14" s="66">
        <f>'Rate Input'!C44</f>
        <v>6.3509999999999997E-2</v>
      </c>
      <c r="G14" s="11">
        <f>+E14*F14</f>
        <v>68556.123540000001</v>
      </c>
    </row>
    <row r="15" spans="1:7">
      <c r="C15" s="65"/>
      <c r="D15" s="7"/>
      <c r="E15" s="20"/>
      <c r="F15" s="67"/>
      <c r="G15" s="11"/>
    </row>
    <row r="16" spans="1:7">
      <c r="A16" t="s">
        <v>11</v>
      </c>
      <c r="B16" s="4">
        <f>SUM(B13:B14)</f>
        <v>1930735</v>
      </c>
      <c r="C16" s="65"/>
      <c r="D16" s="7"/>
      <c r="E16" s="20">
        <f>+B16</f>
        <v>1930735</v>
      </c>
      <c r="F16" s="67"/>
      <c r="G16" s="11"/>
    </row>
    <row r="17" spans="1:7">
      <c r="B17" s="4"/>
      <c r="C17" s="65"/>
      <c r="D17" s="7"/>
      <c r="E17" s="20"/>
      <c r="F17" s="67"/>
      <c r="G17" s="11"/>
    </row>
    <row r="18" spans="1:7">
      <c r="A18" t="s">
        <v>12</v>
      </c>
      <c r="B18" s="61">
        <v>96</v>
      </c>
      <c r="C18" s="165">
        <v>85</v>
      </c>
      <c r="D18" s="7">
        <f>+B18*C18</f>
        <v>8160</v>
      </c>
      <c r="E18" s="20">
        <f>+B18</f>
        <v>96</v>
      </c>
      <c r="F18" s="67">
        <f>'Rate Input'!B42</f>
        <v>85</v>
      </c>
      <c r="G18" s="11">
        <f>+E18*F18</f>
        <v>8160</v>
      </c>
    </row>
    <row r="19" spans="1:7">
      <c r="B19" s="61"/>
      <c r="C19" s="47"/>
      <c r="D19" s="7"/>
      <c r="E19" s="20"/>
      <c r="F19" s="58"/>
      <c r="G19" s="7"/>
    </row>
    <row r="20" spans="1:7">
      <c r="A20" t="s">
        <v>13</v>
      </c>
      <c r="B20" s="61">
        <v>96</v>
      </c>
      <c r="C20" s="47"/>
      <c r="D20" s="7"/>
      <c r="E20" s="20">
        <f>+B20</f>
        <v>96</v>
      </c>
      <c r="F20" s="58"/>
      <c r="G20" s="7"/>
    </row>
    <row r="21" spans="1:7">
      <c r="C21" s="47"/>
      <c r="D21" s="7"/>
      <c r="E21" s="20"/>
      <c r="F21" s="58"/>
      <c r="G21" s="7"/>
    </row>
    <row r="22" spans="1:7">
      <c r="A22" t="str">
        <f>+RS!A$25</f>
        <v xml:space="preserve">Fuel </v>
      </c>
      <c r="C22" s="177">
        <f>+RS!C25</f>
        <v>1.5985060633393854E-3</v>
      </c>
      <c r="D22" s="7">
        <f>+B16*C22</f>
        <v>3086.2916042015681</v>
      </c>
      <c r="F22" s="62">
        <f>+RS!F25</f>
        <v>1.5985060633393854E-3</v>
      </c>
      <c r="G22" s="7">
        <f>+E16*F22</f>
        <v>3086.2916042015681</v>
      </c>
    </row>
    <row r="23" spans="1:7">
      <c r="D23" s="7"/>
      <c r="G23" s="7"/>
    </row>
    <row r="24" spans="1:7">
      <c r="A24" s="47" t="s">
        <v>263</v>
      </c>
      <c r="D24" s="46">
        <v>171</v>
      </c>
      <c r="G24" s="46">
        <v>0</v>
      </c>
    </row>
    <row r="25" spans="1:7">
      <c r="D25" s="46"/>
      <c r="G25" s="46"/>
    </row>
    <row r="26" spans="1:7">
      <c r="A26" t="str">
        <f>RS!A30</f>
        <v>Big Sandy 1 Operations Rider</v>
      </c>
      <c r="C26" s="164">
        <v>4.5599999999999998E-3</v>
      </c>
      <c r="D26" s="46">
        <v>7731</v>
      </c>
      <c r="E26" s="20"/>
      <c r="F26" s="66"/>
      <c r="G26" s="46">
        <v>0</v>
      </c>
    </row>
    <row r="27" spans="1:7">
      <c r="D27" s="46"/>
      <c r="E27" s="20"/>
      <c r="F27" s="67"/>
      <c r="G27" s="46"/>
    </row>
    <row r="28" spans="1:7">
      <c r="A28" s="47" t="s">
        <v>265</v>
      </c>
      <c r="C28" s="163">
        <f>'LGS-SEC'!C32</f>
        <v>5.4338999999999998E-2</v>
      </c>
      <c r="D28" s="46">
        <v>4183</v>
      </c>
      <c r="E28" s="74"/>
      <c r="F28" s="80"/>
      <c r="G28" s="46">
        <v>0</v>
      </c>
    </row>
    <row r="29" spans="1:7">
      <c r="A29" s="12"/>
      <c r="B29" s="12"/>
      <c r="C29" s="12"/>
      <c r="D29" s="207"/>
      <c r="E29" s="205"/>
      <c r="F29" s="206"/>
      <c r="G29" s="207"/>
    </row>
    <row r="30" spans="1:7">
      <c r="A30" s="47" t="s">
        <v>261</v>
      </c>
      <c r="D30" s="7">
        <f>SUM(D13:D28)</f>
        <v>192636.48926420158</v>
      </c>
      <c r="G30" s="7">
        <f>SUM(G13:G29)</f>
        <v>204702.36346420157</v>
      </c>
    </row>
    <row r="31" spans="1:7">
      <c r="F31" s="67"/>
    </row>
    <row r="32" spans="1:7">
      <c r="A32" t="s">
        <v>180</v>
      </c>
      <c r="C32">
        <v>0.15</v>
      </c>
      <c r="D32">
        <f>C32*B18</f>
        <v>14.399999999999999</v>
      </c>
      <c r="E32" s="20">
        <f>E18</f>
        <v>96</v>
      </c>
      <c r="F32" s="67">
        <f>SGS!F34</f>
        <v>1</v>
      </c>
      <c r="G32" s="7">
        <f>+E32*F32</f>
        <v>96</v>
      </c>
    </row>
    <row r="34" spans="1:7">
      <c r="A34" t="s">
        <v>286</v>
      </c>
      <c r="E34" s="74">
        <f>G30+G32-G22-G38</f>
        <v>149099.54311</v>
      </c>
      <c r="F34" s="195">
        <f>SGS!F36</f>
        <v>1.1413000000000001E-2</v>
      </c>
      <c r="G34" s="7">
        <f>+E34*F34</f>
        <v>1701.6730855144301</v>
      </c>
    </row>
    <row r="35" spans="1:7">
      <c r="A35" s="12"/>
      <c r="B35" s="12"/>
      <c r="C35" s="12"/>
      <c r="D35" s="12"/>
      <c r="E35" s="209"/>
      <c r="F35" s="209"/>
      <c r="G35" s="209"/>
    </row>
    <row r="36" spans="1:7">
      <c r="A36" t="s">
        <v>262</v>
      </c>
      <c r="D36" s="74">
        <f>SUM(D30:D35)</f>
        <v>192650.88926420157</v>
      </c>
      <c r="G36" s="74">
        <f>SUM(G30:G35)</f>
        <v>206500.03654971599</v>
      </c>
    </row>
    <row r="38" spans="1:7">
      <c r="A38" s="47" t="s">
        <v>189</v>
      </c>
      <c r="F38" s="62">
        <f>SGS!$F$40</f>
        <v>2.725E-2</v>
      </c>
      <c r="G38" s="7">
        <f>+E16*F38</f>
        <v>52612.528749999998</v>
      </c>
    </row>
  </sheetData>
  <phoneticPr fontId="0" type="noConversion"/>
  <pageMargins left="0.75" right="0.75" top="1" bottom="1" header="0.5" footer="0.5"/>
  <pageSetup scale="9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4"/>
  <sheetViews>
    <sheetView topLeftCell="A13" workbookViewId="0">
      <selection activeCell="F38" sqref="F38"/>
    </sheetView>
  </sheetViews>
  <sheetFormatPr defaultRowHeight="12.5"/>
  <cols>
    <col min="1" max="1" width="22.453125" customWidth="1"/>
    <col min="2" max="2" width="11.81640625" customWidth="1"/>
    <col min="3" max="3" width="13.1796875" customWidth="1"/>
    <col min="4" max="4" width="13.7265625" customWidth="1"/>
    <col min="5" max="5" width="16.26953125" style="16" customWidth="1"/>
    <col min="6" max="7" width="14.4531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255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21</v>
      </c>
      <c r="B13" s="61">
        <v>1552149</v>
      </c>
      <c r="C13" s="164">
        <v>8.5419999999999996E-2</v>
      </c>
      <c r="D13" s="7">
        <f>+B13*C13</f>
        <v>132584.56758</v>
      </c>
      <c r="E13" s="20">
        <f>+B13</f>
        <v>1552149</v>
      </c>
      <c r="F13" s="66">
        <f>'Rate Input'!C46</f>
        <v>0.10224</v>
      </c>
      <c r="G13" s="11">
        <f>+E13*F13</f>
        <v>158691.71375999998</v>
      </c>
    </row>
    <row r="14" spans="1:7">
      <c r="A14" t="s">
        <v>22</v>
      </c>
      <c r="B14" s="61">
        <v>1432878</v>
      </c>
      <c r="C14" s="164">
        <v>4.3869999999999999E-2</v>
      </c>
      <c r="D14" s="7">
        <f>+B14*C14</f>
        <v>62860.357859999996</v>
      </c>
      <c r="E14" s="20">
        <f>+B14</f>
        <v>1432878</v>
      </c>
      <c r="F14" s="66">
        <f>'Rate Input'!C47</f>
        <v>4.369E-2</v>
      </c>
      <c r="G14" s="11">
        <f>+E14*F14</f>
        <v>62602.43982</v>
      </c>
    </row>
    <row r="15" spans="1:7">
      <c r="C15" s="65"/>
      <c r="D15" s="7"/>
      <c r="E15" s="20"/>
      <c r="F15" s="67"/>
      <c r="G15" s="11"/>
    </row>
    <row r="16" spans="1:7" s="16" customFormat="1">
      <c r="A16" t="s">
        <v>11</v>
      </c>
      <c r="B16" s="4">
        <f>SUM(B13:B14)</f>
        <v>2985027</v>
      </c>
      <c r="C16" s="65"/>
      <c r="D16" s="7"/>
      <c r="E16" s="20">
        <f>+B16</f>
        <v>2985027</v>
      </c>
      <c r="F16" s="67"/>
      <c r="G16" s="11"/>
    </row>
    <row r="17" spans="1:7" s="16" customFormat="1">
      <c r="A17"/>
      <c r="B17" s="4"/>
      <c r="C17" s="65"/>
      <c r="D17" s="7"/>
      <c r="E17" s="20"/>
      <c r="F17" s="67"/>
      <c r="G17" s="11"/>
    </row>
    <row r="18" spans="1:7" s="16" customFormat="1">
      <c r="A18" t="s">
        <v>56</v>
      </c>
      <c r="B18" s="61">
        <v>6051.2</v>
      </c>
      <c r="C18" s="165">
        <v>9.5500000000000007</v>
      </c>
      <c r="D18" s="7">
        <f>+B18*C18</f>
        <v>57788.959999999999</v>
      </c>
      <c r="E18" s="20"/>
      <c r="F18" s="67">
        <f>'Rate Input'!D45</f>
        <v>10.87</v>
      </c>
      <c r="G18" s="11">
        <f>F18*B18</f>
        <v>65776.543999999994</v>
      </c>
    </row>
    <row r="19" spans="1:7" s="16" customFormat="1">
      <c r="A19"/>
      <c r="B19" s="4"/>
      <c r="C19" s="165"/>
      <c r="D19" s="7"/>
      <c r="E19" s="20"/>
      <c r="F19" s="67"/>
      <c r="G19" s="11"/>
    </row>
    <row r="20" spans="1:7" s="16" customFormat="1">
      <c r="A20" t="s">
        <v>104</v>
      </c>
      <c r="B20" s="61">
        <v>989.4</v>
      </c>
      <c r="C20" s="165">
        <v>3.46</v>
      </c>
      <c r="D20" s="7">
        <f>+B20*C20</f>
        <v>3423.3240000000001</v>
      </c>
      <c r="E20" s="20">
        <v>989</v>
      </c>
      <c r="F20" s="67">
        <f>'Rate Input'!E45</f>
        <v>3.46</v>
      </c>
      <c r="G20" s="11">
        <f>F20*B20</f>
        <v>3423.3240000000001</v>
      </c>
    </row>
    <row r="21" spans="1:7" s="16" customFormat="1">
      <c r="A21"/>
      <c r="B21" s="4"/>
      <c r="C21" s="65"/>
      <c r="D21" s="7"/>
      <c r="E21" s="20"/>
      <c r="F21" s="67"/>
      <c r="G21" s="11"/>
    </row>
    <row r="22" spans="1:7" s="16" customFormat="1">
      <c r="A22" t="s">
        <v>12</v>
      </c>
      <c r="B22" s="61">
        <v>32</v>
      </c>
      <c r="C22" s="165">
        <v>85</v>
      </c>
      <c r="D22" s="7">
        <f>+B22*C22</f>
        <v>2720</v>
      </c>
      <c r="E22" s="20">
        <f>+B22</f>
        <v>32</v>
      </c>
      <c r="F22" s="67">
        <f>'Rate Input'!B45</f>
        <v>85</v>
      </c>
      <c r="G22" s="11">
        <f>+E22*F22</f>
        <v>2720</v>
      </c>
    </row>
    <row r="23" spans="1:7" s="16" customFormat="1">
      <c r="A23"/>
      <c r="B23" s="61"/>
      <c r="C23" s="47"/>
      <c r="D23" s="7"/>
      <c r="E23" s="20"/>
      <c r="F23" s="58"/>
      <c r="G23" s="7"/>
    </row>
    <row r="24" spans="1:7" s="16" customFormat="1">
      <c r="A24" t="s">
        <v>13</v>
      </c>
      <c r="B24" s="61">
        <v>36</v>
      </c>
      <c r="C24" s="47"/>
      <c r="D24" s="7"/>
      <c r="E24" s="20">
        <f>+B24</f>
        <v>36</v>
      </c>
      <c r="F24" s="58"/>
      <c r="G24" s="7"/>
    </row>
    <row r="25" spans="1:7" s="16" customFormat="1">
      <c r="A25"/>
      <c r="B25"/>
      <c r="C25" s="47"/>
      <c r="D25" s="7"/>
      <c r="E25" s="20"/>
      <c r="F25" s="58"/>
      <c r="G25" s="7"/>
    </row>
    <row r="26" spans="1:7" s="16" customFormat="1">
      <c r="A26" t="str">
        <f>+RS!A$25</f>
        <v xml:space="preserve">Fuel </v>
      </c>
      <c r="B26"/>
      <c r="C26" s="177">
        <f>+RS!C25</f>
        <v>1.5985060633393854E-3</v>
      </c>
      <c r="D26" s="7">
        <f>+B16*C26</f>
        <v>4771.5837587317756</v>
      </c>
      <c r="F26" s="62">
        <f>+RS!F25</f>
        <v>1.5985060633393854E-3</v>
      </c>
      <c r="G26" s="7">
        <f>+E16*F26</f>
        <v>4771.5837587317756</v>
      </c>
    </row>
    <row r="27" spans="1:7" s="16" customFormat="1">
      <c r="A27"/>
      <c r="B27"/>
      <c r="C27"/>
      <c r="D27" s="7"/>
      <c r="G27" s="7"/>
    </row>
    <row r="28" spans="1:7" s="16" customFormat="1">
      <c r="A28" s="47" t="s">
        <v>263</v>
      </c>
      <c r="B28"/>
      <c r="C28"/>
      <c r="D28" s="46">
        <v>548</v>
      </c>
      <c r="G28" s="46">
        <v>0</v>
      </c>
    </row>
    <row r="29" spans="1:7" s="16" customFormat="1">
      <c r="A29"/>
      <c r="B29"/>
      <c r="C29"/>
      <c r="D29" s="46"/>
      <c r="G29" s="46"/>
    </row>
    <row r="30" spans="1:7" s="16" customFormat="1">
      <c r="A30" t="str">
        <f>+'LGS-SEC'!A28</f>
        <v>Big Sandy 1 Operations Rider - Energy</v>
      </c>
      <c r="B30"/>
      <c r="C30" s="164">
        <v>1.42E-3</v>
      </c>
      <c r="D30" s="46">
        <v>4239</v>
      </c>
      <c r="E30" s="20"/>
      <c r="F30" s="66"/>
      <c r="G30" s="46">
        <v>0</v>
      </c>
    </row>
    <row r="31" spans="1:7" s="16" customFormat="1">
      <c r="A31"/>
      <c r="B31"/>
      <c r="C31"/>
      <c r="D31" s="46"/>
      <c r="E31" s="20"/>
      <c r="F31" s="67"/>
      <c r="G31" s="46"/>
    </row>
    <row r="32" spans="1:7" s="16" customFormat="1">
      <c r="A32" t="str">
        <f>+'LGS-SEC'!A30</f>
        <v>Big Sandy 1 Operations Rider - Demand</v>
      </c>
      <c r="B32"/>
      <c r="C32" s="165">
        <v>0.92</v>
      </c>
      <c r="D32" s="46">
        <v>5567</v>
      </c>
      <c r="E32" s="20"/>
      <c r="F32" s="67"/>
      <c r="G32" s="46">
        <v>0</v>
      </c>
    </row>
    <row r="33" spans="1:7" s="16" customFormat="1">
      <c r="A33"/>
      <c r="B33"/>
      <c r="C33"/>
      <c r="D33" s="46"/>
      <c r="E33" s="20"/>
      <c r="F33" s="67"/>
      <c r="G33" s="46"/>
    </row>
    <row r="34" spans="1:7" s="16" customFormat="1">
      <c r="A34" t="str">
        <f>+RS!A$34</f>
        <v>Environmental Surcharge</v>
      </c>
      <c r="B34"/>
      <c r="C34" s="163">
        <f>'LGS-SEC'!C32</f>
        <v>5.4338999999999998E-2</v>
      </c>
      <c r="D34" s="46">
        <v>5400</v>
      </c>
      <c r="E34" s="7"/>
      <c r="F34" s="80"/>
      <c r="G34" s="46">
        <v>0</v>
      </c>
    </row>
    <row r="35" spans="1:7" s="16" customFormat="1">
      <c r="A35" s="12"/>
      <c r="B35" s="12"/>
      <c r="C35" s="12"/>
      <c r="D35" s="13"/>
      <c r="E35" s="209"/>
      <c r="F35" s="209"/>
      <c r="G35" s="13"/>
    </row>
    <row r="36" spans="1:7" s="16" customFormat="1">
      <c r="A36" s="47" t="s">
        <v>261</v>
      </c>
      <c r="B36"/>
      <c r="C36"/>
      <c r="D36" s="7">
        <f>SUM(D13:D34)</f>
        <v>279902.79319873173</v>
      </c>
      <c r="G36" s="7">
        <f>SUM(G13:G35)</f>
        <v>297985.60533873178</v>
      </c>
    </row>
    <row r="38" spans="1:7" s="16" customFormat="1">
      <c r="A38" t="s">
        <v>180</v>
      </c>
      <c r="B38"/>
      <c r="C38" s="165">
        <v>0.15</v>
      </c>
      <c r="D38" s="7">
        <f>C38*B22</f>
        <v>4.8</v>
      </c>
      <c r="E38" s="20">
        <f>E22</f>
        <v>32</v>
      </c>
      <c r="F38" s="67">
        <f>SGS!F34</f>
        <v>1</v>
      </c>
      <c r="G38" s="7">
        <f>+E38*F38</f>
        <v>32</v>
      </c>
    </row>
    <row r="40" spans="1:7">
      <c r="A40" t="s">
        <v>286</v>
      </c>
      <c r="E40" s="74">
        <f>G36+G38-G26-G44</f>
        <v>211904.03583000001</v>
      </c>
      <c r="F40" s="195">
        <f>SGS!F36</f>
        <v>1.1413000000000001E-2</v>
      </c>
      <c r="G40" s="7">
        <f>+E40*F40</f>
        <v>2418.4607609277905</v>
      </c>
    </row>
    <row r="41" spans="1:7">
      <c r="A41" s="12"/>
      <c r="B41" s="12"/>
      <c r="C41" s="12"/>
      <c r="D41" s="12"/>
      <c r="E41" s="209"/>
      <c r="F41" s="209"/>
      <c r="G41" s="209"/>
    </row>
    <row r="42" spans="1:7">
      <c r="A42" t="s">
        <v>262</v>
      </c>
      <c r="D42" s="74">
        <f>SUM(D36:D41)</f>
        <v>279907.59319873172</v>
      </c>
      <c r="G42" s="74">
        <f>SUM(G36:G41)</f>
        <v>300436.0660996596</v>
      </c>
    </row>
    <row r="44" spans="1:7" s="16" customFormat="1">
      <c r="A44" s="47" t="s">
        <v>189</v>
      </c>
      <c r="B44"/>
      <c r="C44"/>
      <c r="D44"/>
      <c r="F44" s="62">
        <f>SGS!$F$40</f>
        <v>2.725E-2</v>
      </c>
      <c r="G44" s="7">
        <f>+E16*F44</f>
        <v>81341.985749999993</v>
      </c>
    </row>
  </sheetData>
  <pageMargins left="0.75" right="0.75" top="1" bottom="1" header="0.5" footer="0.5"/>
  <pageSetup scale="8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topLeftCell="A5" workbookViewId="0">
      <selection activeCell="F12" sqref="F12"/>
    </sheetView>
  </sheetViews>
  <sheetFormatPr defaultRowHeight="12.5"/>
  <cols>
    <col min="1" max="1" width="24.7265625" customWidth="1"/>
    <col min="2" max="2" width="11.7265625" customWidth="1"/>
    <col min="3" max="3" width="12.26953125" customWidth="1"/>
    <col min="4" max="4" width="15.26953125" customWidth="1"/>
    <col min="5" max="5" width="16.26953125" style="16" customWidth="1"/>
    <col min="6" max="6" width="13.1796875" style="16" customWidth="1"/>
    <col min="7" max="7" width="15.1796875" style="16" customWidth="1"/>
    <col min="8" max="8" width="11.26953125" style="16" bestFit="1" customWidth="1"/>
    <col min="9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63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78038479</v>
      </c>
      <c r="C12" s="164">
        <v>6.8089999999999998E-2</v>
      </c>
      <c r="D12" s="7">
        <f>+B12*C12</f>
        <v>5313640.0351099996</v>
      </c>
      <c r="E12" s="20">
        <f>B12</f>
        <v>78038479</v>
      </c>
      <c r="F12" s="66">
        <f>'Rate Input'!C48</f>
        <v>7.152E-2</v>
      </c>
      <c r="G12" s="7">
        <f>+E12*F12</f>
        <v>5581312.0180799998</v>
      </c>
    </row>
    <row r="13" spans="1:7">
      <c r="A13" t="s">
        <v>105</v>
      </c>
      <c r="B13" s="61">
        <v>-19460</v>
      </c>
      <c r="C13" s="14"/>
      <c r="D13" s="7"/>
      <c r="E13" s="20">
        <f>B13</f>
        <v>-19460</v>
      </c>
      <c r="F13" s="58"/>
      <c r="G13" s="7"/>
    </row>
    <row r="14" spans="1:7">
      <c r="A14" t="s">
        <v>11</v>
      </c>
      <c r="B14" s="4">
        <f>SUM(B12:B13)</f>
        <v>78019019</v>
      </c>
      <c r="C14" s="14"/>
      <c r="D14" s="7"/>
      <c r="E14" s="20">
        <f>B14</f>
        <v>78019019</v>
      </c>
      <c r="F14" s="58"/>
      <c r="G14" s="7"/>
    </row>
    <row r="15" spans="1:7">
      <c r="C15" s="14"/>
      <c r="D15" s="7"/>
      <c r="E15" s="20"/>
      <c r="F15" s="58"/>
      <c r="G15" s="7"/>
    </row>
    <row r="16" spans="1:7">
      <c r="A16" t="s">
        <v>56</v>
      </c>
      <c r="B16" s="61">
        <v>275247</v>
      </c>
      <c r="C16" s="165">
        <v>4.53</v>
      </c>
      <c r="D16" s="7">
        <f>+B16*C16</f>
        <v>1246868.9100000001</v>
      </c>
      <c r="E16" s="20">
        <f>B16</f>
        <v>275247</v>
      </c>
      <c r="F16" s="67">
        <f>'Rate Input'!D48</f>
        <v>7.18</v>
      </c>
      <c r="G16" s="7">
        <f>+E16*F16</f>
        <v>1976273.46</v>
      </c>
    </row>
    <row r="17" spans="1:7">
      <c r="B17" s="63"/>
      <c r="C17" s="165"/>
      <c r="D17" s="7"/>
      <c r="E17" s="20">
        <f>B17</f>
        <v>0</v>
      </c>
      <c r="F17" s="67"/>
      <c r="G17" s="7"/>
    </row>
    <row r="18" spans="1:7">
      <c r="A18" t="s">
        <v>104</v>
      </c>
      <c r="B18" s="61">
        <v>49918</v>
      </c>
      <c r="C18" s="165">
        <v>3.46</v>
      </c>
      <c r="D18" s="7">
        <f>+B18*C18</f>
        <v>172716.28</v>
      </c>
      <c r="E18" s="20">
        <f>B18</f>
        <v>49918</v>
      </c>
      <c r="F18" s="67">
        <f>'Rate Input'!E48</f>
        <v>3.46</v>
      </c>
      <c r="G18" s="7">
        <f>+E18*F18</f>
        <v>172716.28</v>
      </c>
    </row>
    <row r="19" spans="1:7">
      <c r="B19" s="58"/>
      <c r="C19" s="165"/>
      <c r="D19" s="7"/>
      <c r="E19" s="20"/>
      <c r="F19" s="67"/>
      <c r="G19" s="7"/>
    </row>
    <row r="20" spans="1:7">
      <c r="A20" t="s">
        <v>12</v>
      </c>
      <c r="B20" s="61">
        <v>710</v>
      </c>
      <c r="C20" s="165">
        <v>127.5</v>
      </c>
      <c r="D20" s="7">
        <f>+B20*C20</f>
        <v>90525</v>
      </c>
      <c r="E20" s="20">
        <f>B20</f>
        <v>710</v>
      </c>
      <c r="F20" s="67">
        <f>'Rate Input'!B48</f>
        <v>127.5</v>
      </c>
      <c r="G20" s="7">
        <f>+E20*F20</f>
        <v>90525</v>
      </c>
    </row>
    <row r="21" spans="1:7">
      <c r="B21" s="58"/>
      <c r="C21" s="47"/>
      <c r="D21" s="7"/>
      <c r="E21" s="20"/>
      <c r="F21" s="58"/>
      <c r="G21" s="7"/>
    </row>
    <row r="22" spans="1:7">
      <c r="A22" t="s">
        <v>13</v>
      </c>
      <c r="B22" s="61">
        <v>708</v>
      </c>
      <c r="C22" s="47"/>
      <c r="D22" s="7"/>
      <c r="E22" s="20">
        <f>B22</f>
        <v>708</v>
      </c>
      <c r="F22" s="58"/>
      <c r="G22" s="7"/>
    </row>
    <row r="23" spans="1:7">
      <c r="C23" s="47"/>
      <c r="D23" s="7"/>
      <c r="F23" s="58"/>
      <c r="G23" s="7"/>
    </row>
    <row r="24" spans="1:7">
      <c r="A24" t="str">
        <f>+RS!A$25</f>
        <v xml:space="preserve">Fuel </v>
      </c>
      <c r="C24" s="177">
        <f>+RS!C25</f>
        <v>1.5985060633393854E-3</v>
      </c>
      <c r="D24" s="7">
        <f>+B14*C24</f>
        <v>124713.87492729072</v>
      </c>
      <c r="F24" s="62">
        <f>+RS!F25</f>
        <v>1.5985060633393854E-3</v>
      </c>
      <c r="G24" s="7">
        <f>+E14*F24</f>
        <v>124713.87492729072</v>
      </c>
    </row>
    <row r="25" spans="1:7">
      <c r="D25" s="7"/>
      <c r="F25" s="63"/>
      <c r="G25" s="7"/>
    </row>
    <row r="26" spans="1:7">
      <c r="A26" s="47" t="s">
        <v>263</v>
      </c>
      <c r="D26" s="46">
        <v>6662</v>
      </c>
      <c r="F26" s="63"/>
      <c r="G26" s="46">
        <v>0</v>
      </c>
    </row>
    <row r="27" spans="1:7">
      <c r="D27" s="46"/>
      <c r="F27" s="63"/>
      <c r="G27" s="46"/>
    </row>
    <row r="28" spans="1:7">
      <c r="A28" t="str">
        <f>+'LGS-SEC'!A28</f>
        <v>Big Sandy 1 Operations Rider - Energy</v>
      </c>
      <c r="C28" s="164">
        <f>'LGS-SEC'!C28</f>
        <v>1.42E-3</v>
      </c>
      <c r="D28" s="46">
        <v>109858</v>
      </c>
      <c r="E28" s="20"/>
      <c r="F28" s="66"/>
      <c r="G28" s="46">
        <v>0</v>
      </c>
    </row>
    <row r="29" spans="1:7">
      <c r="D29" s="46"/>
      <c r="E29" s="20"/>
      <c r="F29" s="67"/>
      <c r="G29" s="46"/>
    </row>
    <row r="30" spans="1:7">
      <c r="A30" t="str">
        <f>+'LGS-SEC'!A30</f>
        <v>Big Sandy 1 Operations Rider - Demand</v>
      </c>
      <c r="C30" s="165">
        <f>'LGS-SEC'!C30</f>
        <v>0.92</v>
      </c>
      <c r="D30" s="46">
        <v>205799</v>
      </c>
      <c r="E30" s="20"/>
      <c r="F30" s="67"/>
      <c r="G30" s="46">
        <v>0</v>
      </c>
    </row>
    <row r="31" spans="1:7">
      <c r="D31" s="46"/>
      <c r="E31" s="20"/>
      <c r="F31" s="65"/>
      <c r="G31" s="46"/>
    </row>
    <row r="32" spans="1:7">
      <c r="A32" s="47" t="s">
        <v>265</v>
      </c>
      <c r="C32" s="163">
        <f>'LGS-SEC'!C32</f>
        <v>5.4338999999999998E-2</v>
      </c>
      <c r="D32" s="46">
        <v>158630</v>
      </c>
      <c r="E32" s="7"/>
      <c r="F32" s="80"/>
      <c r="G32" s="46">
        <v>0</v>
      </c>
    </row>
    <row r="33" spans="1:7">
      <c r="A33" s="12"/>
      <c r="B33" s="12"/>
      <c r="C33" s="12"/>
      <c r="D33" s="207"/>
      <c r="E33" s="205"/>
      <c r="F33" s="206"/>
      <c r="G33" s="207"/>
    </row>
    <row r="34" spans="1:7">
      <c r="A34" s="47" t="s">
        <v>261</v>
      </c>
      <c r="D34" s="7">
        <f>SUM(D12:D33)</f>
        <v>7429413.1000372907</v>
      </c>
      <c r="G34" s="7">
        <f>SUM(G12:G33)</f>
        <v>7945540.6330072908</v>
      </c>
    </row>
    <row r="36" spans="1:7">
      <c r="A36" t="s">
        <v>180</v>
      </c>
      <c r="C36" s="165">
        <v>0.15</v>
      </c>
      <c r="D36" s="7">
        <f>C36*B20</f>
        <v>106.5</v>
      </c>
      <c r="E36" s="20">
        <f>E20</f>
        <v>710</v>
      </c>
      <c r="F36" s="67">
        <f>SGS!F34</f>
        <v>1</v>
      </c>
      <c r="G36" s="7">
        <f>+E36*F36</f>
        <v>710</v>
      </c>
    </row>
    <row r="38" spans="1:7">
      <c r="A38" t="s">
        <v>286</v>
      </c>
      <c r="E38" s="74">
        <f>G34+G36-G24-G42</f>
        <v>5695518.4903299995</v>
      </c>
      <c r="F38" s="195">
        <f>SGS!F36</f>
        <v>1.1413000000000001E-2</v>
      </c>
      <c r="G38" s="7">
        <f>+E38*F38</f>
        <v>65002.952530136288</v>
      </c>
    </row>
    <row r="39" spans="1:7">
      <c r="A39" s="12"/>
      <c r="B39" s="12"/>
      <c r="C39" s="12"/>
      <c r="D39" s="12"/>
      <c r="E39" s="209"/>
      <c r="F39" s="209"/>
      <c r="G39" s="209"/>
    </row>
    <row r="40" spans="1:7">
      <c r="A40" t="s">
        <v>262</v>
      </c>
      <c r="D40" s="74">
        <f>SUM(D34:D39)</f>
        <v>7429519.6000372907</v>
      </c>
      <c r="G40" s="74">
        <f>SUM(G34:G39)</f>
        <v>8011253.5855374271</v>
      </c>
    </row>
    <row r="42" spans="1:7">
      <c r="A42" s="47" t="s">
        <v>189</v>
      </c>
      <c r="F42" s="62">
        <f>SGS!$F$40</f>
        <v>2.725E-2</v>
      </c>
      <c r="G42" s="7">
        <f>+E14*F42</f>
        <v>2126018.2677500001</v>
      </c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N11"/>
  <sheetViews>
    <sheetView workbookViewId="0"/>
  </sheetViews>
  <sheetFormatPr defaultColWidth="9.1796875" defaultRowHeight="15.5" outlineLevelCol="1"/>
  <cols>
    <col min="1" max="1" width="9.1796875" style="96"/>
    <col min="2" max="2" width="1.453125" style="96" customWidth="1"/>
    <col min="3" max="3" width="8.81640625" style="96" bestFit="1" customWidth="1"/>
    <col min="4" max="4" width="2.7265625" style="96" customWidth="1"/>
    <col min="5" max="5" width="7.81640625" style="96" bestFit="1" customWidth="1"/>
    <col min="6" max="6" width="2.7265625" style="96" customWidth="1"/>
    <col min="7" max="7" width="9.54296875" style="96" bestFit="1" customWidth="1"/>
    <col min="8" max="8" width="2.7265625" style="96" customWidth="1"/>
    <col min="9" max="9" width="8.81640625" style="96" bestFit="1" customWidth="1"/>
    <col min="10" max="10" width="2.7265625" style="96" customWidth="1"/>
    <col min="11" max="11" width="8" style="96" bestFit="1" customWidth="1"/>
    <col min="12" max="15" width="9.1796875" style="96" hidden="1" customWidth="1" outlineLevel="1"/>
    <col min="16" max="17" width="9.54296875" style="96" hidden="1" customWidth="1" outlineLevel="1"/>
    <col min="18" max="18" width="10.7265625" style="96" hidden="1" customWidth="1" outlineLevel="1"/>
    <col min="19" max="20" width="9.1796875" style="96" hidden="1" customWidth="1" outlineLevel="1"/>
    <col min="21" max="21" width="9.453125" style="96" hidden="1" customWidth="1" outlineLevel="1"/>
    <col min="22" max="22" width="10.1796875" style="96" hidden="1" customWidth="1" outlineLevel="1"/>
    <col min="23" max="28" width="9.1796875" style="96" hidden="1" customWidth="1" outlineLevel="1"/>
    <col min="29" max="29" width="9.54296875" style="96" hidden="1" customWidth="1" outlineLevel="1"/>
    <col min="30" max="30" width="10.7265625" style="96" hidden="1" customWidth="1" outlineLevel="1"/>
    <col min="31" max="33" width="9.54296875" style="96" hidden="1" customWidth="1" outlineLevel="1"/>
    <col min="34" max="34" width="10.453125" style="96" hidden="1" customWidth="1" outlineLevel="1"/>
    <col min="35" max="35" width="10.1796875" style="96" hidden="1" customWidth="1" outlineLevel="1"/>
    <col min="36" max="36" width="11.453125" style="96" hidden="1" customWidth="1" outlineLevel="1"/>
    <col min="37" max="37" width="9.1796875" style="96" customWidth="1" collapsed="1"/>
    <col min="38" max="39" width="9.1796875" style="96" customWidth="1"/>
    <col min="40" max="16384" width="9.1796875" style="96"/>
  </cols>
  <sheetData>
    <row r="1" spans="1:40">
      <c r="A1" s="85"/>
      <c r="B1" s="86"/>
      <c r="C1" s="87"/>
      <c r="D1" s="88"/>
      <c r="E1" s="89"/>
      <c r="F1" s="89"/>
      <c r="G1" s="90"/>
      <c r="H1" s="88"/>
      <c r="I1" s="91"/>
      <c r="J1" s="92"/>
      <c r="K1" s="93"/>
      <c r="L1" s="91"/>
      <c r="M1" s="147" t="s">
        <v>201</v>
      </c>
      <c r="N1" s="95"/>
      <c r="O1" s="95"/>
      <c r="P1" s="94"/>
      <c r="Q1" s="120"/>
      <c r="R1" s="94"/>
      <c r="S1" s="95"/>
      <c r="T1" s="91"/>
      <c r="U1" s="91"/>
      <c r="V1" s="91"/>
      <c r="W1" s="91"/>
      <c r="X1" s="148" t="s">
        <v>223</v>
      </c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1"/>
      <c r="AJ1" s="91"/>
    </row>
    <row r="2" spans="1:40">
      <c r="A2" s="85"/>
      <c r="B2" s="86"/>
      <c r="C2" s="87"/>
      <c r="D2" s="88"/>
      <c r="E2" s="89"/>
      <c r="F2" s="89"/>
      <c r="G2" s="90"/>
      <c r="H2" s="88"/>
      <c r="I2" s="89"/>
      <c r="J2" s="92"/>
      <c r="K2" s="93"/>
      <c r="L2" s="91"/>
      <c r="M2" s="149" t="s">
        <v>202</v>
      </c>
      <c r="N2" s="150"/>
      <c r="O2" s="150"/>
      <c r="P2" s="151"/>
      <c r="Q2" s="152"/>
      <c r="R2" s="151"/>
      <c r="S2" s="150"/>
      <c r="T2" s="153"/>
      <c r="U2" s="154" t="s">
        <v>203</v>
      </c>
      <c r="V2" s="154" t="s">
        <v>174</v>
      </c>
      <c r="W2" s="91"/>
      <c r="X2" s="119" t="s">
        <v>202</v>
      </c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85" t="s">
        <v>205</v>
      </c>
      <c r="AJ2" s="85" t="s">
        <v>206</v>
      </c>
    </row>
    <row r="3" spans="1:40">
      <c r="A3" s="85"/>
      <c r="B3" s="86"/>
      <c r="C3" s="98" t="s">
        <v>207</v>
      </c>
      <c r="D3" s="88"/>
      <c r="E3" s="99" t="s">
        <v>4</v>
      </c>
      <c r="F3" s="99"/>
      <c r="G3" s="100" t="s">
        <v>2</v>
      </c>
      <c r="H3" s="101"/>
      <c r="I3" s="99" t="s">
        <v>208</v>
      </c>
      <c r="J3" s="102"/>
      <c r="K3" s="103" t="s">
        <v>97</v>
      </c>
      <c r="L3" s="91"/>
      <c r="M3" s="155"/>
      <c r="N3" s="155" t="s">
        <v>226</v>
      </c>
      <c r="O3" s="155"/>
      <c r="P3" s="320" t="s">
        <v>245</v>
      </c>
      <c r="Q3" s="320"/>
      <c r="R3" s="320"/>
      <c r="S3" s="320"/>
      <c r="T3" s="146" t="s">
        <v>97</v>
      </c>
      <c r="U3" s="102" t="s">
        <v>210</v>
      </c>
      <c r="V3" s="102" t="s">
        <v>210</v>
      </c>
      <c r="W3" s="91"/>
      <c r="X3" s="155"/>
      <c r="Y3" s="155" t="s">
        <v>226</v>
      </c>
      <c r="Z3" s="155"/>
      <c r="AA3" s="320" t="s">
        <v>246</v>
      </c>
      <c r="AB3" s="320"/>
      <c r="AC3" s="320"/>
      <c r="AD3" s="320"/>
      <c r="AE3" s="320"/>
      <c r="AF3" s="320"/>
      <c r="AG3" s="146" t="s">
        <v>97</v>
      </c>
      <c r="AH3" s="146" t="s">
        <v>97</v>
      </c>
      <c r="AI3" s="102" t="s">
        <v>210</v>
      </c>
      <c r="AJ3" s="155" t="s">
        <v>210</v>
      </c>
    </row>
    <row r="4" spans="1:40">
      <c r="A4" s="104" t="s">
        <v>80</v>
      </c>
      <c r="B4" s="105"/>
      <c r="C4" s="106" t="s">
        <v>211</v>
      </c>
      <c r="D4" s="107"/>
      <c r="E4" s="108" t="s">
        <v>208</v>
      </c>
      <c r="F4" s="108"/>
      <c r="G4" s="109" t="s">
        <v>208</v>
      </c>
      <c r="H4" s="110"/>
      <c r="I4" s="108" t="s">
        <v>212</v>
      </c>
      <c r="J4" s="111"/>
      <c r="K4" s="112" t="s">
        <v>213</v>
      </c>
      <c r="L4" s="91"/>
      <c r="M4" s="156" t="s">
        <v>214</v>
      </c>
      <c r="N4" s="155" t="s">
        <v>209</v>
      </c>
      <c r="O4" s="150" t="s">
        <v>215</v>
      </c>
      <c r="P4" s="151" t="s">
        <v>216</v>
      </c>
      <c r="Q4" s="152" t="s">
        <v>217</v>
      </c>
      <c r="R4" s="151" t="s">
        <v>218</v>
      </c>
      <c r="S4" s="150" t="s">
        <v>219</v>
      </c>
      <c r="T4" s="153" t="s">
        <v>174</v>
      </c>
      <c r="U4" s="154" t="s">
        <v>220</v>
      </c>
      <c r="V4" s="154" t="s">
        <v>220</v>
      </c>
      <c r="W4" s="91"/>
      <c r="X4" s="156" t="s">
        <v>214</v>
      </c>
      <c r="Y4" s="155" t="s">
        <v>209</v>
      </c>
      <c r="Z4" s="150" t="s">
        <v>215</v>
      </c>
      <c r="AA4" s="150" t="s">
        <v>216</v>
      </c>
      <c r="AB4" s="150" t="s">
        <v>247</v>
      </c>
      <c r="AC4" s="150" t="s">
        <v>217</v>
      </c>
      <c r="AD4" s="151" t="s">
        <v>218</v>
      </c>
      <c r="AE4" s="150" t="s">
        <v>219</v>
      </c>
      <c r="AF4" s="150" t="s">
        <v>204</v>
      </c>
      <c r="AG4" s="150" t="s">
        <v>221</v>
      </c>
      <c r="AH4" s="150" t="s">
        <v>222</v>
      </c>
      <c r="AI4" s="154" t="s">
        <v>220</v>
      </c>
      <c r="AJ4" s="156" t="s">
        <v>220</v>
      </c>
    </row>
    <row r="5" spans="1:40">
      <c r="A5" s="113" t="s">
        <v>140</v>
      </c>
      <c r="B5" s="114"/>
      <c r="C5" s="115">
        <v>250</v>
      </c>
      <c r="D5" s="116"/>
      <c r="E5" s="90">
        <f t="shared" ref="E5:E11" si="0">ROUND(O5+U5+V5,2)</f>
        <v>37.15</v>
      </c>
      <c r="F5" s="90"/>
      <c r="G5" s="90">
        <f t="shared" ref="G5:G11" si="1">ROUND(Z5+AI5+AJ5,2)</f>
        <v>41.07</v>
      </c>
      <c r="H5" s="90"/>
      <c r="I5" s="90">
        <f t="shared" ref="I5:I11" si="2">G5-E5</f>
        <v>3.9200000000000017</v>
      </c>
      <c r="J5" s="117"/>
      <c r="K5" s="118">
        <f t="shared" ref="K5:K11" si="3">ROUND(I5/E5,3)</f>
        <v>0.106</v>
      </c>
      <c r="L5" s="95"/>
      <c r="M5" s="119">
        <f>RS!C19</f>
        <v>11</v>
      </c>
      <c r="N5" s="97">
        <f>RS!C13</f>
        <v>8.795E-2</v>
      </c>
      <c r="O5" s="90">
        <f t="shared" ref="O5:O11" si="4">ROUND(M5+C5*N5,2)</f>
        <v>32.99</v>
      </c>
      <c r="P5" s="157">
        <v>0.15</v>
      </c>
      <c r="Q5" s="158">
        <v>1.4469999999999999E-3</v>
      </c>
      <c r="R5" s="122">
        <v>2.0411000000000001E-3</v>
      </c>
      <c r="S5" s="97">
        <v>9.7000000000000005E-4</v>
      </c>
      <c r="T5" s="159">
        <v>8.4529999999999994E-2</v>
      </c>
      <c r="U5" s="119">
        <f t="shared" ref="U5:U11" si="5">P5+(C5*Q5)+(C5*R5)+(C5*S5)</f>
        <v>1.2645249999999999</v>
      </c>
      <c r="V5" s="119">
        <f>T5*(O5+U5)</f>
        <v>2.89553499825</v>
      </c>
      <c r="W5" s="95"/>
      <c r="X5" s="119">
        <f>RS!F19</f>
        <v>14</v>
      </c>
      <c r="Y5" s="97">
        <f>RS!F13</f>
        <v>0.10265000000000001</v>
      </c>
      <c r="Z5" s="116">
        <f t="shared" ref="Z5:Z11" si="6">ROUND(X5+C5*Y5,2)</f>
        <v>39.659999999999997</v>
      </c>
      <c r="AA5" s="116">
        <f>RS!F38</f>
        <v>0.2</v>
      </c>
      <c r="AB5" s="116">
        <v>0.15</v>
      </c>
      <c r="AC5" s="121">
        <f>Q5</f>
        <v>1.4469999999999999E-3</v>
      </c>
      <c r="AD5" s="122">
        <f>RS!F25</f>
        <v>1.5985060633393854E-3</v>
      </c>
      <c r="AE5" s="145">
        <v>1.1850000000000001E-3</v>
      </c>
      <c r="AF5" s="94">
        <f>RS!F30</f>
        <v>0</v>
      </c>
      <c r="AG5" s="160">
        <f>RS!F32</f>
        <v>0</v>
      </c>
      <c r="AH5" s="160">
        <f>RS!F34</f>
        <v>0</v>
      </c>
      <c r="AI5" s="119">
        <f>ROUND(AA5+AB5+(C5*AC5)+(C5*AD5)+(C5*AE5)+(C5*AF5),2)</f>
        <v>1.41</v>
      </c>
      <c r="AJ5" s="119">
        <f t="shared" ref="AJ5:AJ11" si="7">ROUND((Z5+AI5)*AG5+(Z5+AI5)*AH5,2)</f>
        <v>0</v>
      </c>
      <c r="AK5" s="123"/>
      <c r="AL5" s="123"/>
      <c r="AM5" s="123"/>
      <c r="AN5" s="123"/>
    </row>
    <row r="6" spans="1:40">
      <c r="A6" s="85"/>
      <c r="B6" s="91"/>
      <c r="C6" s="115">
        <v>500</v>
      </c>
      <c r="D6" s="116"/>
      <c r="E6" s="90">
        <f t="shared" si="0"/>
        <v>62.21</v>
      </c>
      <c r="F6" s="90"/>
      <c r="G6" s="90">
        <f t="shared" si="1"/>
        <v>67.8</v>
      </c>
      <c r="H6" s="90"/>
      <c r="I6" s="90">
        <f t="shared" si="2"/>
        <v>5.5899999999999963</v>
      </c>
      <c r="J6" s="117"/>
      <c r="K6" s="118">
        <f t="shared" si="3"/>
        <v>0.09</v>
      </c>
      <c r="L6" s="95"/>
      <c r="M6" s="119">
        <f t="shared" ref="M6:N6" si="8">M5</f>
        <v>11</v>
      </c>
      <c r="N6" s="97">
        <f t="shared" si="8"/>
        <v>8.795E-2</v>
      </c>
      <c r="O6" s="90">
        <f t="shared" si="4"/>
        <v>54.98</v>
      </c>
      <c r="P6" s="157">
        <f>P$5</f>
        <v>0.15</v>
      </c>
      <c r="Q6" s="158">
        <f>Q$5</f>
        <v>1.4469999999999999E-3</v>
      </c>
      <c r="R6" s="122">
        <f>R$5</f>
        <v>2.0411000000000001E-3</v>
      </c>
      <c r="S6" s="97">
        <f>S$5</f>
        <v>9.7000000000000005E-4</v>
      </c>
      <c r="T6" s="159">
        <f t="shared" ref="T6:T9" si="9">T5</f>
        <v>8.4529999999999994E-2</v>
      </c>
      <c r="U6" s="119">
        <f t="shared" si="5"/>
        <v>2.3790499999999999</v>
      </c>
      <c r="V6" s="119">
        <f t="shared" ref="V6:V11" si="10">T6*(O6+U6)</f>
        <v>4.8485604964999993</v>
      </c>
      <c r="W6" s="95"/>
      <c r="X6" s="119">
        <f>X5</f>
        <v>14</v>
      </c>
      <c r="Y6" s="97">
        <f>Y5</f>
        <v>0.10265000000000001</v>
      </c>
      <c r="Z6" s="116">
        <f t="shared" si="6"/>
        <v>65.33</v>
      </c>
      <c r="AA6" s="116">
        <f t="shared" ref="AA6:AH11" si="11">AA$5</f>
        <v>0.2</v>
      </c>
      <c r="AB6" s="116">
        <f>AB$5</f>
        <v>0.15</v>
      </c>
      <c r="AC6" s="121">
        <f t="shared" si="11"/>
        <v>1.4469999999999999E-3</v>
      </c>
      <c r="AD6" s="122">
        <f t="shared" si="11"/>
        <v>1.5985060633393854E-3</v>
      </c>
      <c r="AE6" s="121">
        <f t="shared" si="11"/>
        <v>1.1850000000000001E-3</v>
      </c>
      <c r="AF6" s="94">
        <f t="shared" si="11"/>
        <v>0</v>
      </c>
      <c r="AG6" s="160">
        <f t="shared" si="11"/>
        <v>0</v>
      </c>
      <c r="AH6" s="160">
        <f t="shared" si="11"/>
        <v>0</v>
      </c>
      <c r="AI6" s="119">
        <f t="shared" ref="AI6:AI11" si="12">ROUND(AA6+AB6+(C6*AC6)+(C6*AD6)+(C6*AE6)+(C6*AF6),2)</f>
        <v>2.4700000000000002</v>
      </c>
      <c r="AJ6" s="119">
        <f t="shared" si="7"/>
        <v>0</v>
      </c>
      <c r="AK6" s="123"/>
      <c r="AL6" s="123"/>
      <c r="AM6" s="123"/>
      <c r="AN6" s="123"/>
    </row>
    <row r="7" spans="1:40">
      <c r="A7" s="85"/>
      <c r="B7" s="91"/>
      <c r="C7" s="115">
        <v>750</v>
      </c>
      <c r="D7" s="116"/>
      <c r="E7" s="90">
        <f t="shared" si="0"/>
        <v>87.25</v>
      </c>
      <c r="F7" s="90"/>
      <c r="G7" s="90">
        <f t="shared" si="1"/>
        <v>94.51</v>
      </c>
      <c r="H7" s="90"/>
      <c r="I7" s="90">
        <f t="shared" si="2"/>
        <v>7.2600000000000051</v>
      </c>
      <c r="J7" s="117"/>
      <c r="K7" s="118">
        <f t="shared" si="3"/>
        <v>8.3000000000000004E-2</v>
      </c>
      <c r="L7" s="95"/>
      <c r="M7" s="119">
        <f t="shared" ref="M7:N7" si="13">M5</f>
        <v>11</v>
      </c>
      <c r="N7" s="97">
        <f t="shared" si="13"/>
        <v>8.795E-2</v>
      </c>
      <c r="O7" s="90">
        <f t="shared" si="4"/>
        <v>76.959999999999994</v>
      </c>
      <c r="P7" s="157">
        <f t="shared" ref="P7:S11" si="14">P$5</f>
        <v>0.15</v>
      </c>
      <c r="Q7" s="158">
        <f t="shared" si="14"/>
        <v>1.4469999999999999E-3</v>
      </c>
      <c r="R7" s="122">
        <f t="shared" si="14"/>
        <v>2.0411000000000001E-3</v>
      </c>
      <c r="S7" s="97">
        <f t="shared" si="14"/>
        <v>9.7000000000000005E-4</v>
      </c>
      <c r="T7" s="159">
        <f t="shared" si="9"/>
        <v>8.4529999999999994E-2</v>
      </c>
      <c r="U7" s="119">
        <f t="shared" si="5"/>
        <v>3.4935749999999999</v>
      </c>
      <c r="V7" s="119">
        <f t="shared" si="10"/>
        <v>6.80074069475</v>
      </c>
      <c r="W7" s="95"/>
      <c r="X7" s="119">
        <f>X5</f>
        <v>14</v>
      </c>
      <c r="Y7" s="97">
        <f>Y5</f>
        <v>0.10265000000000001</v>
      </c>
      <c r="Z7" s="116">
        <f t="shared" si="6"/>
        <v>90.99</v>
      </c>
      <c r="AA7" s="116">
        <f>AA$5</f>
        <v>0.2</v>
      </c>
      <c r="AB7" s="116">
        <f t="shared" ref="AB7:AB11" si="15">AB$5</f>
        <v>0.15</v>
      </c>
      <c r="AC7" s="121">
        <f t="shared" si="11"/>
        <v>1.4469999999999999E-3</v>
      </c>
      <c r="AD7" s="122">
        <f t="shared" si="11"/>
        <v>1.5985060633393854E-3</v>
      </c>
      <c r="AE7" s="121">
        <f>AE$5</f>
        <v>1.1850000000000001E-3</v>
      </c>
      <c r="AF7" s="94">
        <f t="shared" si="11"/>
        <v>0</v>
      </c>
      <c r="AG7" s="160">
        <f t="shared" si="11"/>
        <v>0</v>
      </c>
      <c r="AH7" s="160">
        <f t="shared" si="11"/>
        <v>0</v>
      </c>
      <c r="AI7" s="119">
        <f t="shared" si="12"/>
        <v>3.52</v>
      </c>
      <c r="AJ7" s="119">
        <f t="shared" si="7"/>
        <v>0</v>
      </c>
      <c r="AK7" s="123"/>
      <c r="AL7" s="123"/>
      <c r="AM7" s="123"/>
      <c r="AN7" s="123"/>
    </row>
    <row r="8" spans="1:40">
      <c r="A8" s="85"/>
      <c r="B8" s="91"/>
      <c r="C8" s="115">
        <v>1000</v>
      </c>
      <c r="D8" s="116"/>
      <c r="E8" s="90">
        <f t="shared" si="0"/>
        <v>112.31</v>
      </c>
      <c r="F8" s="90"/>
      <c r="G8" s="90">
        <f t="shared" si="1"/>
        <v>121.23</v>
      </c>
      <c r="H8" s="90"/>
      <c r="I8" s="90">
        <f>G8-E8</f>
        <v>8.9200000000000017</v>
      </c>
      <c r="J8" s="117"/>
      <c r="K8" s="118">
        <f t="shared" si="3"/>
        <v>7.9000000000000001E-2</v>
      </c>
      <c r="L8" s="95"/>
      <c r="M8" s="119">
        <f>M5</f>
        <v>11</v>
      </c>
      <c r="N8" s="97">
        <f t="shared" ref="N8:N9" si="16">N5</f>
        <v>8.795E-2</v>
      </c>
      <c r="O8" s="90">
        <f t="shared" si="4"/>
        <v>98.95</v>
      </c>
      <c r="P8" s="157">
        <f t="shared" si="14"/>
        <v>0.15</v>
      </c>
      <c r="Q8" s="158">
        <f t="shared" si="14"/>
        <v>1.4469999999999999E-3</v>
      </c>
      <c r="R8" s="122">
        <f t="shared" si="14"/>
        <v>2.0411000000000001E-3</v>
      </c>
      <c r="S8" s="97">
        <f t="shared" si="14"/>
        <v>9.7000000000000005E-4</v>
      </c>
      <c r="T8" s="159">
        <f t="shared" si="9"/>
        <v>8.4529999999999994E-2</v>
      </c>
      <c r="U8" s="119">
        <f t="shared" si="5"/>
        <v>4.6080999999999994</v>
      </c>
      <c r="V8" s="119">
        <f t="shared" si="10"/>
        <v>8.7537661929999988</v>
      </c>
      <c r="W8" s="95"/>
      <c r="X8" s="119">
        <f t="shared" ref="X8:Y9" si="17">X5</f>
        <v>14</v>
      </c>
      <c r="Y8" s="97">
        <f t="shared" si="17"/>
        <v>0.10265000000000001</v>
      </c>
      <c r="Z8" s="116">
        <f t="shared" si="6"/>
        <v>116.65</v>
      </c>
      <c r="AA8" s="116">
        <f>AA$5</f>
        <v>0.2</v>
      </c>
      <c r="AB8" s="116">
        <f t="shared" si="15"/>
        <v>0.15</v>
      </c>
      <c r="AC8" s="121">
        <f t="shared" si="11"/>
        <v>1.4469999999999999E-3</v>
      </c>
      <c r="AD8" s="122">
        <f t="shared" si="11"/>
        <v>1.5985060633393854E-3</v>
      </c>
      <c r="AE8" s="121">
        <f>AE$5</f>
        <v>1.1850000000000001E-3</v>
      </c>
      <c r="AF8" s="94">
        <f t="shared" si="11"/>
        <v>0</v>
      </c>
      <c r="AG8" s="160">
        <f t="shared" si="11"/>
        <v>0</v>
      </c>
      <c r="AH8" s="160">
        <f t="shared" si="11"/>
        <v>0</v>
      </c>
      <c r="AI8" s="119">
        <f t="shared" si="12"/>
        <v>4.58</v>
      </c>
      <c r="AJ8" s="119">
        <f t="shared" si="7"/>
        <v>0</v>
      </c>
      <c r="AK8" s="123"/>
      <c r="AL8" s="123"/>
      <c r="AM8" s="123"/>
      <c r="AN8" s="123"/>
    </row>
    <row r="9" spans="1:40">
      <c r="A9" s="85"/>
      <c r="B9" s="91"/>
      <c r="C9" s="115">
        <v>1361</v>
      </c>
      <c r="D9" s="116"/>
      <c r="E9" s="90">
        <f t="shared" si="0"/>
        <v>148.49</v>
      </c>
      <c r="F9" s="90"/>
      <c r="G9" s="90">
        <f t="shared" si="1"/>
        <v>159.82</v>
      </c>
      <c r="H9" s="90"/>
      <c r="I9" s="90">
        <f>G9-E9</f>
        <v>11.329999999999984</v>
      </c>
      <c r="J9" s="117"/>
      <c r="K9" s="118">
        <f>ROUND(I9/E9,3)</f>
        <v>7.5999999999999998E-2</v>
      </c>
      <c r="L9" s="95"/>
      <c r="M9" s="119">
        <f>M6</f>
        <v>11</v>
      </c>
      <c r="N9" s="97">
        <f t="shared" si="16"/>
        <v>8.795E-2</v>
      </c>
      <c r="O9" s="90">
        <f t="shared" si="4"/>
        <v>130.69999999999999</v>
      </c>
      <c r="P9" s="157">
        <f t="shared" si="14"/>
        <v>0.15</v>
      </c>
      <c r="Q9" s="158">
        <f t="shared" si="14"/>
        <v>1.4469999999999999E-3</v>
      </c>
      <c r="R9" s="122">
        <f t="shared" si="14"/>
        <v>2.0411000000000001E-3</v>
      </c>
      <c r="S9" s="97">
        <f t="shared" si="14"/>
        <v>9.7000000000000005E-4</v>
      </c>
      <c r="T9" s="159">
        <f t="shared" si="9"/>
        <v>8.4529999999999994E-2</v>
      </c>
      <c r="U9" s="119">
        <f t="shared" si="5"/>
        <v>6.2174741000000004</v>
      </c>
      <c r="V9" s="119">
        <f t="shared" si="10"/>
        <v>11.573634085672998</v>
      </c>
      <c r="W9" s="95"/>
      <c r="X9" s="119">
        <f t="shared" si="17"/>
        <v>14</v>
      </c>
      <c r="Y9" s="97">
        <f t="shared" si="17"/>
        <v>0.10265000000000001</v>
      </c>
      <c r="Z9" s="116">
        <f t="shared" si="6"/>
        <v>153.71</v>
      </c>
      <c r="AA9" s="116">
        <f>AA$5</f>
        <v>0.2</v>
      </c>
      <c r="AB9" s="116">
        <f t="shared" si="15"/>
        <v>0.15</v>
      </c>
      <c r="AC9" s="121">
        <f t="shared" si="11"/>
        <v>1.4469999999999999E-3</v>
      </c>
      <c r="AD9" s="122">
        <f t="shared" si="11"/>
        <v>1.5985060633393854E-3</v>
      </c>
      <c r="AE9" s="121">
        <f>AE$5</f>
        <v>1.1850000000000001E-3</v>
      </c>
      <c r="AF9" s="94">
        <f t="shared" si="11"/>
        <v>0</v>
      </c>
      <c r="AG9" s="160">
        <f t="shared" si="11"/>
        <v>0</v>
      </c>
      <c r="AH9" s="160">
        <f t="shared" si="11"/>
        <v>0</v>
      </c>
      <c r="AI9" s="119">
        <f t="shared" si="12"/>
        <v>6.11</v>
      </c>
      <c r="AJ9" s="119">
        <f t="shared" si="7"/>
        <v>0</v>
      </c>
      <c r="AK9" s="123"/>
      <c r="AL9" s="123"/>
      <c r="AM9" s="123"/>
      <c r="AN9" s="123"/>
    </row>
    <row r="10" spans="1:40">
      <c r="A10" s="85"/>
      <c r="B10" s="91"/>
      <c r="C10" s="115">
        <v>1600</v>
      </c>
      <c r="D10" s="116"/>
      <c r="E10" s="90">
        <f t="shared" si="0"/>
        <v>172.44</v>
      </c>
      <c r="F10" s="90"/>
      <c r="G10" s="90">
        <f t="shared" si="1"/>
        <v>185.36</v>
      </c>
      <c r="H10" s="90"/>
      <c r="I10" s="90">
        <f t="shared" si="2"/>
        <v>12.920000000000016</v>
      </c>
      <c r="J10" s="117"/>
      <c r="K10" s="118">
        <f t="shared" si="3"/>
        <v>7.4999999999999997E-2</v>
      </c>
      <c r="L10" s="95"/>
      <c r="M10" s="119">
        <f t="shared" ref="M10:N10" si="18">M5</f>
        <v>11</v>
      </c>
      <c r="N10" s="97">
        <f t="shared" si="18"/>
        <v>8.795E-2</v>
      </c>
      <c r="O10" s="90">
        <f t="shared" si="4"/>
        <v>151.72</v>
      </c>
      <c r="P10" s="157">
        <f t="shared" si="14"/>
        <v>0.15</v>
      </c>
      <c r="Q10" s="158">
        <f t="shared" si="14"/>
        <v>1.4469999999999999E-3</v>
      </c>
      <c r="R10" s="122">
        <f t="shared" si="14"/>
        <v>2.0411000000000001E-3</v>
      </c>
      <c r="S10" s="97">
        <f t="shared" si="14"/>
        <v>9.7000000000000005E-4</v>
      </c>
      <c r="T10" s="159">
        <f>T8</f>
        <v>8.4529999999999994E-2</v>
      </c>
      <c r="U10" s="119">
        <f t="shared" si="5"/>
        <v>7.2829599999999992</v>
      </c>
      <c r="V10" s="119">
        <f t="shared" si="10"/>
        <v>13.440520208799999</v>
      </c>
      <c r="W10" s="95"/>
      <c r="X10" s="119">
        <f>X5</f>
        <v>14</v>
      </c>
      <c r="Y10" s="97">
        <f>Y5</f>
        <v>0.10265000000000001</v>
      </c>
      <c r="Z10" s="116">
        <f t="shared" si="6"/>
        <v>178.24</v>
      </c>
      <c r="AA10" s="116">
        <f>AA$5</f>
        <v>0.2</v>
      </c>
      <c r="AB10" s="116">
        <f t="shared" si="15"/>
        <v>0.15</v>
      </c>
      <c r="AC10" s="121">
        <f t="shared" si="11"/>
        <v>1.4469999999999999E-3</v>
      </c>
      <c r="AD10" s="122">
        <f t="shared" si="11"/>
        <v>1.5985060633393854E-3</v>
      </c>
      <c r="AE10" s="121">
        <f>AE$5</f>
        <v>1.1850000000000001E-3</v>
      </c>
      <c r="AF10" s="94">
        <f t="shared" si="11"/>
        <v>0</v>
      </c>
      <c r="AG10" s="160">
        <f t="shared" si="11"/>
        <v>0</v>
      </c>
      <c r="AH10" s="160">
        <f t="shared" si="11"/>
        <v>0</v>
      </c>
      <c r="AI10" s="119">
        <f t="shared" si="12"/>
        <v>7.12</v>
      </c>
      <c r="AJ10" s="119">
        <f t="shared" si="7"/>
        <v>0</v>
      </c>
      <c r="AK10" s="123"/>
      <c r="AL10" s="123"/>
      <c r="AM10" s="123"/>
      <c r="AN10" s="123"/>
    </row>
    <row r="11" spans="1:40">
      <c r="A11" s="85"/>
      <c r="B11" s="91"/>
      <c r="C11" s="115">
        <v>2250</v>
      </c>
      <c r="D11" s="116"/>
      <c r="E11" s="90">
        <f t="shared" si="0"/>
        <v>237.59</v>
      </c>
      <c r="F11" s="90"/>
      <c r="G11" s="90">
        <f t="shared" si="1"/>
        <v>254.83</v>
      </c>
      <c r="H11" s="90"/>
      <c r="I11" s="90">
        <f t="shared" si="2"/>
        <v>17.240000000000009</v>
      </c>
      <c r="J11" s="117"/>
      <c r="K11" s="118">
        <f t="shared" si="3"/>
        <v>7.2999999999999995E-2</v>
      </c>
      <c r="L11" s="95"/>
      <c r="M11" s="119">
        <f t="shared" ref="M11:N11" si="19">M5</f>
        <v>11</v>
      </c>
      <c r="N11" s="97">
        <f t="shared" si="19"/>
        <v>8.795E-2</v>
      </c>
      <c r="O11" s="90">
        <f t="shared" si="4"/>
        <v>208.89</v>
      </c>
      <c r="P11" s="157">
        <f t="shared" si="14"/>
        <v>0.15</v>
      </c>
      <c r="Q11" s="158">
        <f t="shared" si="14"/>
        <v>1.4469999999999999E-3</v>
      </c>
      <c r="R11" s="122">
        <f t="shared" si="14"/>
        <v>2.0411000000000001E-3</v>
      </c>
      <c r="S11" s="97">
        <f t="shared" si="14"/>
        <v>9.7000000000000005E-4</v>
      </c>
      <c r="T11" s="159">
        <f>T10</f>
        <v>8.4529999999999994E-2</v>
      </c>
      <c r="U11" s="119">
        <f t="shared" si="5"/>
        <v>10.180724999999999</v>
      </c>
      <c r="V11" s="119">
        <f t="shared" si="10"/>
        <v>18.518048384249997</v>
      </c>
      <c r="W11" s="95"/>
      <c r="X11" s="119">
        <f>X5</f>
        <v>14</v>
      </c>
      <c r="Y11" s="97">
        <f>Y5</f>
        <v>0.10265000000000001</v>
      </c>
      <c r="Z11" s="116">
        <f t="shared" si="6"/>
        <v>244.96</v>
      </c>
      <c r="AA11" s="116">
        <f>AA$5</f>
        <v>0.2</v>
      </c>
      <c r="AB11" s="116">
        <f t="shared" si="15"/>
        <v>0.15</v>
      </c>
      <c r="AC11" s="121">
        <f t="shared" si="11"/>
        <v>1.4469999999999999E-3</v>
      </c>
      <c r="AD11" s="122">
        <f t="shared" si="11"/>
        <v>1.5985060633393854E-3</v>
      </c>
      <c r="AE11" s="121">
        <f>AE$5</f>
        <v>1.1850000000000001E-3</v>
      </c>
      <c r="AF11" s="94">
        <f t="shared" si="11"/>
        <v>0</v>
      </c>
      <c r="AG11" s="160">
        <f t="shared" si="11"/>
        <v>0</v>
      </c>
      <c r="AH11" s="160">
        <f t="shared" si="11"/>
        <v>0</v>
      </c>
      <c r="AI11" s="119">
        <f t="shared" si="12"/>
        <v>9.8699999999999992</v>
      </c>
      <c r="AJ11" s="119">
        <f t="shared" si="7"/>
        <v>0</v>
      </c>
      <c r="AK11" s="123"/>
      <c r="AL11" s="123"/>
      <c r="AM11" s="123"/>
      <c r="AN11" s="123"/>
    </row>
  </sheetData>
  <mergeCells count="2">
    <mergeCell ref="P3:S3"/>
    <mergeCell ref="AA3:AF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4"/>
  <sheetViews>
    <sheetView topLeftCell="A10" workbookViewId="0">
      <selection activeCell="F36" sqref="F36"/>
    </sheetView>
  </sheetViews>
  <sheetFormatPr defaultRowHeight="12.5"/>
  <cols>
    <col min="1" max="1" width="51" bestFit="1" customWidth="1"/>
    <col min="2" max="2" width="13.26953125" customWidth="1"/>
    <col min="3" max="3" width="12.26953125" customWidth="1"/>
    <col min="4" max="4" width="14.7265625" customWidth="1"/>
    <col min="5" max="5" width="16.26953125" style="16" customWidth="1"/>
    <col min="6" max="6" width="13.54296875" style="16" customWidth="1"/>
    <col min="7" max="7" width="14.816406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64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35956635</v>
      </c>
      <c r="C12" s="164">
        <v>4.7910000000000001E-2</v>
      </c>
      <c r="D12" s="7">
        <f>+B12*C12</f>
        <v>1722682.3828499999</v>
      </c>
      <c r="E12" s="20">
        <f>B12</f>
        <v>35956635</v>
      </c>
      <c r="F12" s="66">
        <f>'Rate Input'!C49</f>
        <v>5.5350000000000003E-2</v>
      </c>
      <c r="G12" s="11">
        <f>+E12*F12</f>
        <v>1990199.74725</v>
      </c>
    </row>
    <row r="13" spans="1:7">
      <c r="A13" t="s">
        <v>105</v>
      </c>
      <c r="B13" s="61">
        <v>-20074</v>
      </c>
      <c r="C13" s="14"/>
      <c r="D13" s="7"/>
      <c r="E13" s="20">
        <f>B13</f>
        <v>-20074</v>
      </c>
      <c r="F13" s="58"/>
      <c r="G13" s="11"/>
    </row>
    <row r="14" spans="1:7">
      <c r="A14" t="s">
        <v>11</v>
      </c>
      <c r="B14" s="4">
        <f>SUM(B12:B13)</f>
        <v>35936561</v>
      </c>
      <c r="C14" s="14"/>
      <c r="D14" s="7"/>
      <c r="E14" s="20">
        <f>B14</f>
        <v>35936561</v>
      </c>
      <c r="F14" s="58"/>
      <c r="G14" s="11"/>
    </row>
    <row r="15" spans="1:7">
      <c r="C15" s="14"/>
      <c r="D15" s="7"/>
      <c r="E15" s="20"/>
      <c r="F15" s="58"/>
      <c r="G15" s="11"/>
    </row>
    <row r="16" spans="1:7">
      <c r="A16" t="s">
        <v>56</v>
      </c>
      <c r="B16" s="197">
        <v>129190.6</v>
      </c>
      <c r="C16" s="165">
        <v>4.4800000000000004</v>
      </c>
      <c r="D16" s="7">
        <f>+B16*C16</f>
        <v>578773.88800000004</v>
      </c>
      <c r="E16" s="20">
        <f>B16</f>
        <v>129190.6</v>
      </c>
      <c r="F16" s="67">
        <f>'Rate Input'!D49</f>
        <v>5.74</v>
      </c>
      <c r="G16" s="11">
        <f>+E16*F16</f>
        <v>741554.04400000011</v>
      </c>
    </row>
    <row r="17" spans="1:7">
      <c r="B17" s="58"/>
      <c r="C17" s="165"/>
      <c r="D17" s="7"/>
      <c r="E17" s="20"/>
      <c r="F17" s="67"/>
      <c r="G17" s="11"/>
    </row>
    <row r="18" spans="1:7">
      <c r="A18" t="s">
        <v>104</v>
      </c>
      <c r="B18" s="197">
        <v>9098.9</v>
      </c>
      <c r="C18" s="165">
        <v>3.46</v>
      </c>
      <c r="D18" s="7">
        <f>+B18*C18</f>
        <v>31482.194</v>
      </c>
      <c r="E18" s="20">
        <f>B18</f>
        <v>9098.9</v>
      </c>
      <c r="F18" s="67">
        <f>'Rate Input'!E49</f>
        <v>3.46</v>
      </c>
      <c r="G18" s="11">
        <f>+E18*F18</f>
        <v>31482.194</v>
      </c>
    </row>
    <row r="19" spans="1:7" ht="13.5" customHeight="1">
      <c r="B19" s="58"/>
      <c r="C19" s="165"/>
      <c r="D19" s="7"/>
      <c r="E19" s="20"/>
      <c r="F19" s="67"/>
      <c r="G19" s="11"/>
    </row>
    <row r="20" spans="1:7">
      <c r="A20" t="s">
        <v>12</v>
      </c>
      <c r="B20" s="61">
        <v>204</v>
      </c>
      <c r="C20" s="165">
        <v>628.5</v>
      </c>
      <c r="D20" s="7">
        <f>+B20*C20</f>
        <v>128214</v>
      </c>
      <c r="E20" s="20">
        <f>B20</f>
        <v>204</v>
      </c>
      <c r="F20" s="67">
        <f>'Rate Input'!B49</f>
        <v>660</v>
      </c>
      <c r="G20" s="11">
        <f>+E20*F20</f>
        <v>134640</v>
      </c>
    </row>
    <row r="21" spans="1:7">
      <c r="B21" s="58"/>
      <c r="C21" s="47"/>
      <c r="D21" s="7"/>
      <c r="E21" s="20"/>
      <c r="F21" s="58"/>
      <c r="G21" s="7"/>
    </row>
    <row r="22" spans="1:7">
      <c r="A22" t="s">
        <v>13</v>
      </c>
      <c r="B22" s="61">
        <v>204</v>
      </c>
      <c r="C22" s="47"/>
      <c r="D22" s="7"/>
      <c r="E22" s="20">
        <f>B22</f>
        <v>204</v>
      </c>
      <c r="F22" s="58"/>
      <c r="G22" s="7"/>
    </row>
    <row r="23" spans="1:7">
      <c r="B23" s="14"/>
      <c r="C23" s="47"/>
      <c r="D23" s="7"/>
      <c r="E23" s="20"/>
      <c r="F23" s="58"/>
      <c r="G23" s="7"/>
    </row>
    <row r="24" spans="1:7">
      <c r="A24" t="str">
        <f>+RS!A$25</f>
        <v xml:space="preserve">Fuel </v>
      </c>
      <c r="C24" s="177">
        <f>+RS!C25</f>
        <v>1.5985060633393854E-3</v>
      </c>
      <c r="D24" s="7">
        <f>+B14*C24</f>
        <v>57444.810654065688</v>
      </c>
      <c r="F24" s="62">
        <f>+RS!F25</f>
        <v>1.5985060633393854E-3</v>
      </c>
      <c r="G24" s="7">
        <f>+E14*F24</f>
        <v>57444.810654065688</v>
      </c>
    </row>
    <row r="25" spans="1:7">
      <c r="D25" s="7"/>
      <c r="F25" s="63"/>
      <c r="G25" s="7"/>
    </row>
    <row r="26" spans="1:7">
      <c r="A26" s="47" t="s">
        <v>263</v>
      </c>
      <c r="D26" s="46">
        <v>3093</v>
      </c>
      <c r="F26" s="63"/>
      <c r="G26" s="46">
        <v>0</v>
      </c>
    </row>
    <row r="27" spans="1:7">
      <c r="D27" s="46"/>
      <c r="E27" s="20"/>
      <c r="F27" s="67"/>
      <c r="G27" s="46"/>
    </row>
    <row r="28" spans="1:7">
      <c r="A28" t="str">
        <f>+'LGS-SEC'!A28</f>
        <v>Big Sandy 1 Operations Rider - Energy</v>
      </c>
      <c r="C28" s="164">
        <f>'LGS-SEC'!C28</f>
        <v>1.42E-3</v>
      </c>
      <c r="D28" s="46">
        <v>50594</v>
      </c>
      <c r="E28" s="20"/>
      <c r="F28" s="66"/>
      <c r="G28" s="46">
        <v>0</v>
      </c>
    </row>
    <row r="29" spans="1:7">
      <c r="D29" s="46"/>
      <c r="E29" s="20"/>
      <c r="F29" s="67"/>
      <c r="G29" s="46"/>
    </row>
    <row r="30" spans="1:7">
      <c r="A30" t="str">
        <f>+'LGS-SEC'!A30</f>
        <v>Big Sandy 1 Operations Rider - Demand</v>
      </c>
      <c r="C30" s="165">
        <f>'LGS-SEC'!C30</f>
        <v>0.92</v>
      </c>
      <c r="D30" s="46">
        <v>97668</v>
      </c>
      <c r="E30" s="20"/>
      <c r="F30" s="67"/>
      <c r="G30" s="46">
        <v>0</v>
      </c>
    </row>
    <row r="31" spans="1:7">
      <c r="D31" s="46"/>
      <c r="E31" s="20"/>
      <c r="F31" s="67"/>
      <c r="G31" s="46"/>
    </row>
    <row r="32" spans="1:7">
      <c r="A32" t="str">
        <f>+'LGS-SEC'!A32</f>
        <v xml:space="preserve">Enviromental Surcharge </v>
      </c>
      <c r="C32" s="163">
        <f>'LGS-SEC'!C32</f>
        <v>5.4338999999999998E-2</v>
      </c>
      <c r="D32" s="46">
        <v>50619</v>
      </c>
      <c r="E32" s="7"/>
      <c r="F32" s="80"/>
      <c r="G32" s="46">
        <v>0</v>
      </c>
    </row>
    <row r="33" spans="1:7">
      <c r="A33" s="12"/>
      <c r="B33" s="12"/>
      <c r="C33" s="12"/>
      <c r="D33" s="207"/>
      <c r="E33" s="205"/>
      <c r="F33" s="206"/>
      <c r="G33" s="207"/>
    </row>
    <row r="34" spans="1:7">
      <c r="A34" s="47" t="s">
        <v>261</v>
      </c>
      <c r="D34" s="7">
        <f>SUM(D12:D33)</f>
        <v>2720571.2755040657</v>
      </c>
      <c r="G34" s="7">
        <f>SUM(G12:G33)</f>
        <v>2955320.7959040659</v>
      </c>
    </row>
    <row r="36" spans="1:7">
      <c r="A36" s="47" t="s">
        <v>267</v>
      </c>
      <c r="C36" s="165">
        <v>0.15</v>
      </c>
      <c r="D36" s="46">
        <f>C36*B20</f>
        <v>30.599999999999998</v>
      </c>
      <c r="E36" s="20">
        <f>E20</f>
        <v>204</v>
      </c>
      <c r="F36" s="67">
        <f>SGS!F34</f>
        <v>1</v>
      </c>
      <c r="G36" s="46">
        <f>E36*F36</f>
        <v>204</v>
      </c>
    </row>
    <row r="38" spans="1:7">
      <c r="A38" t="s">
        <v>286</v>
      </c>
      <c r="D38" s="7">
        <f>D32</f>
        <v>50619</v>
      </c>
      <c r="E38" s="74">
        <f>G34+G36-G24-G42</f>
        <v>1918808.6980000003</v>
      </c>
      <c r="F38" s="195">
        <f>SGS!F36</f>
        <v>1.1413000000000001E-2</v>
      </c>
      <c r="G38" s="46">
        <f>E38*F38</f>
        <v>21899.363670274008</v>
      </c>
    </row>
    <row r="39" spans="1:7">
      <c r="A39" s="12"/>
      <c r="B39" s="12"/>
      <c r="C39" s="12"/>
      <c r="D39" s="12"/>
      <c r="E39" s="209"/>
      <c r="F39" s="209"/>
      <c r="G39" s="209"/>
    </row>
    <row r="40" spans="1:7">
      <c r="A40" t="s">
        <v>262</v>
      </c>
      <c r="D40" s="74">
        <f>SUM(D34:D39)</f>
        <v>2771220.8755040658</v>
      </c>
      <c r="G40" s="74">
        <f>SUM(G34:G39)</f>
        <v>2977424.1595743401</v>
      </c>
    </row>
    <row r="42" spans="1:7">
      <c r="A42" s="47" t="s">
        <v>189</v>
      </c>
      <c r="C42" s="15"/>
      <c r="F42" s="62">
        <f>SGS!$F$40</f>
        <v>2.725E-2</v>
      </c>
      <c r="G42" s="7">
        <f>+E14*F42</f>
        <v>979271.28725000005</v>
      </c>
    </row>
    <row r="44" spans="1:7">
      <c r="G44" s="74"/>
    </row>
  </sheetData>
  <phoneticPr fontId="0" type="noConversion"/>
  <pageMargins left="0.75" right="0.75" top="1" bottom="1" header="0.5" footer="0.5"/>
  <pageSetup scale="1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topLeftCell="A4" workbookViewId="0">
      <selection activeCell="F36" sqref="F36"/>
    </sheetView>
  </sheetViews>
  <sheetFormatPr defaultRowHeight="12.5"/>
  <cols>
    <col min="1" max="1" width="47" bestFit="1" customWidth="1"/>
    <col min="2" max="2" width="13.26953125" customWidth="1"/>
    <col min="3" max="3" width="12.26953125" customWidth="1"/>
    <col min="4" max="4" width="14.7265625" customWidth="1"/>
    <col min="5" max="5" width="16.26953125" style="16" customWidth="1"/>
    <col min="6" max="6" width="13.54296875" style="16" customWidth="1"/>
    <col min="7" max="7" width="14.816406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115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1693502</v>
      </c>
      <c r="C12" s="164">
        <v>4.6989999999999997E-2</v>
      </c>
      <c r="D12" s="7">
        <f>+B12*C12</f>
        <v>79577.658979999993</v>
      </c>
      <c r="E12" s="20">
        <f>B12</f>
        <v>1693502</v>
      </c>
      <c r="F12" s="66">
        <f>'Rate Input'!C50</f>
        <v>5.4289999999999998E-2</v>
      </c>
      <c r="G12" s="11">
        <f>+E12*F12</f>
        <v>91940.223579999991</v>
      </c>
    </row>
    <row r="13" spans="1:7">
      <c r="A13" t="s">
        <v>105</v>
      </c>
      <c r="B13" s="61">
        <v>-5350</v>
      </c>
      <c r="C13" s="14"/>
      <c r="D13" s="7"/>
      <c r="E13" s="20">
        <f>B13</f>
        <v>-5350</v>
      </c>
      <c r="F13" s="58"/>
      <c r="G13" s="11"/>
    </row>
    <row r="14" spans="1:7">
      <c r="A14" t="s">
        <v>11</v>
      </c>
      <c r="B14" s="4">
        <f>SUM(B12:B13)</f>
        <v>1688152</v>
      </c>
      <c r="C14" s="14"/>
      <c r="D14" s="7"/>
      <c r="E14" s="20">
        <f>B14</f>
        <v>1688152</v>
      </c>
      <c r="F14" s="58"/>
      <c r="G14" s="11"/>
    </row>
    <row r="15" spans="1:7">
      <c r="C15" s="14"/>
      <c r="D15" s="7"/>
      <c r="E15" s="20"/>
      <c r="F15" s="58"/>
      <c r="G15" s="11"/>
    </row>
    <row r="16" spans="1:7">
      <c r="A16" t="s">
        <v>56</v>
      </c>
      <c r="B16" s="61">
        <v>6693.4</v>
      </c>
      <c r="C16" s="165">
        <v>4.41</v>
      </c>
      <c r="D16" s="7">
        <f>+B16*C16</f>
        <v>29517.894</v>
      </c>
      <c r="E16" s="20">
        <f>B16</f>
        <v>6693.4</v>
      </c>
      <c r="F16" s="67">
        <f>'Rate Input'!D50</f>
        <v>5.6</v>
      </c>
      <c r="G16" s="11">
        <f>+E16*F16</f>
        <v>37483.039999999994</v>
      </c>
    </row>
    <row r="17" spans="1:7">
      <c r="B17" s="61"/>
      <c r="C17" s="165"/>
      <c r="D17" s="7"/>
      <c r="E17" s="20"/>
      <c r="F17" s="67"/>
      <c r="G17" s="11"/>
    </row>
    <row r="18" spans="1:7">
      <c r="A18" t="s">
        <v>104</v>
      </c>
      <c r="B18" s="61">
        <v>3.4</v>
      </c>
      <c r="C18" s="165">
        <v>3.46</v>
      </c>
      <c r="D18" s="7">
        <f>+B18*C18</f>
        <v>11.763999999999999</v>
      </c>
      <c r="E18" s="20">
        <f>B18</f>
        <v>3.4</v>
      </c>
      <c r="F18" s="67">
        <f>'Rate Input'!E50</f>
        <v>3.46</v>
      </c>
      <c r="G18" s="11">
        <f>+E18*F18</f>
        <v>11.763999999999999</v>
      </c>
    </row>
    <row r="19" spans="1:7" ht="13.5" customHeight="1">
      <c r="B19" s="58"/>
      <c r="C19" s="165"/>
      <c r="D19" s="7"/>
      <c r="E19" s="20"/>
      <c r="F19" s="67"/>
      <c r="G19" s="11"/>
    </row>
    <row r="20" spans="1:7">
      <c r="A20" t="s">
        <v>12</v>
      </c>
      <c r="B20" s="61">
        <v>24</v>
      </c>
      <c r="C20" s="165">
        <v>628.5</v>
      </c>
      <c r="D20" s="7">
        <f>+B20*C20</f>
        <v>15084</v>
      </c>
      <c r="E20" s="20">
        <f>B20</f>
        <v>24</v>
      </c>
      <c r="F20" s="67">
        <f>'Rate Input'!B50</f>
        <v>660</v>
      </c>
      <c r="G20" s="11">
        <f>+E20*F20</f>
        <v>15840</v>
      </c>
    </row>
    <row r="21" spans="1:7">
      <c r="B21" s="58"/>
      <c r="C21" s="47"/>
      <c r="D21" s="7"/>
      <c r="E21" s="20"/>
      <c r="F21" s="58"/>
      <c r="G21" s="7"/>
    </row>
    <row r="22" spans="1:7">
      <c r="A22" t="s">
        <v>13</v>
      </c>
      <c r="B22" s="61">
        <v>24</v>
      </c>
      <c r="C22" s="47"/>
      <c r="D22" s="7"/>
      <c r="E22" s="20">
        <f>B22</f>
        <v>24</v>
      </c>
      <c r="F22" s="58"/>
      <c r="G22" s="7"/>
    </row>
    <row r="23" spans="1:7">
      <c r="C23" s="47"/>
      <c r="D23" s="7"/>
      <c r="F23" s="58"/>
      <c r="G23" s="7"/>
    </row>
    <row r="24" spans="1:7">
      <c r="A24" t="str">
        <f>+RS!A$25</f>
        <v xml:space="preserve">Fuel </v>
      </c>
      <c r="C24" s="177">
        <f>+RS!C25</f>
        <v>1.5985060633393854E-3</v>
      </c>
      <c r="D24" s="7">
        <f>+B14*C24</f>
        <v>2698.5212078385102</v>
      </c>
      <c r="F24" s="62">
        <f>+RS!F25</f>
        <v>1.5985060633393854E-3</v>
      </c>
      <c r="G24" s="7">
        <f>+E14*F24</f>
        <v>2698.5212078385102</v>
      </c>
    </row>
    <row r="25" spans="1:7">
      <c r="D25" s="7"/>
      <c r="F25" s="63"/>
      <c r="G25" s="7"/>
    </row>
    <row r="26" spans="1:7">
      <c r="A26" s="47" t="s">
        <v>263</v>
      </c>
      <c r="D26" s="46">
        <v>344</v>
      </c>
      <c r="F26" s="63"/>
      <c r="G26" s="46">
        <v>0</v>
      </c>
    </row>
    <row r="27" spans="1:7">
      <c r="D27" s="46"/>
      <c r="F27" s="63"/>
      <c r="G27" s="46"/>
    </row>
    <row r="28" spans="1:7">
      <c r="A28" t="str">
        <f>+'LGS-SEC'!A28</f>
        <v>Big Sandy 1 Operations Rider - Energy</v>
      </c>
      <c r="C28" s="164">
        <f>'LGS-SEC'!C28</f>
        <v>1.42E-3</v>
      </c>
      <c r="D28" s="46">
        <v>2373</v>
      </c>
      <c r="E28" s="20"/>
      <c r="F28" s="66"/>
      <c r="G28" s="46">
        <v>0</v>
      </c>
    </row>
    <row r="29" spans="1:7">
      <c r="D29" s="46"/>
      <c r="E29" s="20"/>
      <c r="F29" s="67"/>
      <c r="G29" s="46"/>
    </row>
    <row r="30" spans="1:7">
      <c r="A30" t="str">
        <f>+'LGS-SEC'!A30</f>
        <v>Big Sandy 1 Operations Rider - Demand</v>
      </c>
      <c r="C30" s="165">
        <f>'LGS-SEC'!C30</f>
        <v>0.92</v>
      </c>
      <c r="D30" s="46">
        <v>4378</v>
      </c>
      <c r="E30" s="20"/>
      <c r="F30" s="67"/>
      <c r="G30" s="46">
        <v>0</v>
      </c>
    </row>
    <row r="31" spans="1:7">
      <c r="D31" s="46"/>
      <c r="E31" s="20"/>
      <c r="F31" s="67"/>
      <c r="G31" s="46"/>
    </row>
    <row r="32" spans="1:7">
      <c r="A32" t="str">
        <f>+'LGS-SEC'!A32</f>
        <v xml:space="preserve">Enviromental Surcharge </v>
      </c>
      <c r="C32" s="163">
        <f>'LGS-SEC'!C32</f>
        <v>5.4338999999999998E-2</v>
      </c>
      <c r="D32" s="46">
        <v>2740</v>
      </c>
      <c r="E32" s="7"/>
      <c r="F32" s="80"/>
      <c r="G32" s="46">
        <v>0</v>
      </c>
    </row>
    <row r="33" spans="1:7">
      <c r="A33" s="12"/>
      <c r="B33" s="12"/>
      <c r="C33" s="12"/>
      <c r="D33" s="207"/>
      <c r="E33" s="205"/>
      <c r="F33" s="206"/>
      <c r="G33" s="207"/>
    </row>
    <row r="34" spans="1:7">
      <c r="A34" s="47" t="s">
        <v>261</v>
      </c>
      <c r="D34" s="7">
        <f>SUM(D12:D33)</f>
        <v>136724.8381878385</v>
      </c>
      <c r="G34" s="7">
        <f>SUM(G12:G33)</f>
        <v>147973.54878783852</v>
      </c>
    </row>
    <row r="36" spans="1:7">
      <c r="A36" t="s">
        <v>180</v>
      </c>
      <c r="B36">
        <v>21</v>
      </c>
      <c r="C36" s="165">
        <v>0.15</v>
      </c>
      <c r="D36" s="7">
        <f>C36*B20</f>
        <v>3.5999999999999996</v>
      </c>
      <c r="E36" s="20">
        <f>E20</f>
        <v>24</v>
      </c>
      <c r="F36" s="67">
        <f>SGS!F34</f>
        <v>1</v>
      </c>
      <c r="G36" s="7">
        <f>+E36*F36</f>
        <v>24</v>
      </c>
    </row>
    <row r="38" spans="1:7">
      <c r="A38" t="s">
        <v>286</v>
      </c>
      <c r="D38" s="7">
        <f>D32</f>
        <v>2740</v>
      </c>
      <c r="E38" s="74">
        <f>G34+G36-G24-G42</f>
        <v>99296.885580000002</v>
      </c>
      <c r="F38" s="195">
        <f>SGS!F36</f>
        <v>1.1413000000000001E-2</v>
      </c>
      <c r="G38" s="7">
        <f>+E38*F38</f>
        <v>1133.2753551245401</v>
      </c>
    </row>
    <row r="39" spans="1:7">
      <c r="A39" s="12"/>
      <c r="B39" s="12"/>
      <c r="C39" s="12"/>
      <c r="D39" s="12"/>
      <c r="E39" s="209"/>
      <c r="F39" s="209"/>
      <c r="G39" s="209"/>
    </row>
    <row r="40" spans="1:7">
      <c r="A40" t="s">
        <v>262</v>
      </c>
      <c r="D40" s="74">
        <f>SUM(D34:D39)</f>
        <v>139468.4381878385</v>
      </c>
      <c r="G40" s="74">
        <f>SUM(G34:G39)</f>
        <v>149130.82414296304</v>
      </c>
    </row>
    <row r="42" spans="1:7">
      <c r="A42" s="47" t="s">
        <v>189</v>
      </c>
      <c r="F42" s="62">
        <f>SGS!$F$40</f>
        <v>2.725E-2</v>
      </c>
      <c r="G42" s="7">
        <f>+E14*F42</f>
        <v>46002.142</v>
      </c>
    </row>
  </sheetData>
  <pageMargins left="0.75" right="0.75" top="1" bottom="1" header="0.5" footer="0.5"/>
  <pageSetup scale="1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9"/>
  <sheetViews>
    <sheetView topLeftCell="A13" workbookViewId="0">
      <selection activeCell="G28" sqref="G28"/>
    </sheetView>
  </sheetViews>
  <sheetFormatPr defaultRowHeight="12.5"/>
  <cols>
    <col min="1" max="1" width="23.26953125" customWidth="1"/>
    <col min="2" max="2" width="14.453125" customWidth="1"/>
    <col min="3" max="3" width="14.1796875" customWidth="1"/>
    <col min="4" max="4" width="16.26953125" customWidth="1"/>
    <col min="5" max="5" width="16.26953125" style="16" customWidth="1"/>
    <col min="6" max="6" width="13.26953125" style="16" customWidth="1"/>
    <col min="7" max="7" width="17.816406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251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15517623</v>
      </c>
      <c r="C12" s="164">
        <v>3.2419999999999997E-2</v>
      </c>
      <c r="D12" s="7">
        <f>+B12*C12</f>
        <v>503081.33765999996</v>
      </c>
      <c r="E12" s="20">
        <f>+B12</f>
        <v>15517623</v>
      </c>
      <c r="F12" s="66">
        <f>'Rate Input'!C55</f>
        <v>3.005E-2</v>
      </c>
      <c r="G12" s="292">
        <f>+E12*F12</f>
        <v>466304.57115000003</v>
      </c>
    </row>
    <row r="13" spans="1:7">
      <c r="C13" s="47"/>
      <c r="D13" s="7"/>
      <c r="E13" s="20"/>
      <c r="F13" s="58"/>
      <c r="G13" s="11"/>
    </row>
    <row r="14" spans="1:7">
      <c r="A14" t="s">
        <v>11</v>
      </c>
      <c r="B14" s="4">
        <f>B12</f>
        <v>15517623</v>
      </c>
      <c r="C14" s="47"/>
      <c r="D14" s="7"/>
      <c r="E14" s="20">
        <f>+B14</f>
        <v>15517623</v>
      </c>
      <c r="F14" s="58"/>
      <c r="G14" s="11"/>
    </row>
    <row r="15" spans="1:7">
      <c r="C15" s="47"/>
      <c r="D15" s="7"/>
      <c r="E15" s="20"/>
      <c r="F15" s="58"/>
      <c r="G15" s="11"/>
    </row>
    <row r="16" spans="1:7">
      <c r="A16" s="3" t="s">
        <v>56</v>
      </c>
      <c r="C16" s="47"/>
      <c r="D16" s="7"/>
      <c r="E16" s="20"/>
      <c r="F16" s="58"/>
      <c r="G16" s="11"/>
    </row>
    <row r="17" spans="1:7">
      <c r="A17" t="s">
        <v>47</v>
      </c>
      <c r="B17" s="61">
        <v>18083.7</v>
      </c>
      <c r="C17" s="165">
        <v>18.23</v>
      </c>
      <c r="D17" s="7">
        <f>+B17*C17</f>
        <v>329665.85100000002</v>
      </c>
      <c r="E17" s="20">
        <f>+B17</f>
        <v>18083.7</v>
      </c>
      <c r="F17" s="67">
        <f>'Rate Input'!D56</f>
        <v>24.13</v>
      </c>
      <c r="G17" s="292">
        <f>+E17*F17</f>
        <v>436359.68099999998</v>
      </c>
    </row>
    <row r="18" spans="1:7">
      <c r="A18" t="s">
        <v>66</v>
      </c>
      <c r="B18" s="61">
        <v>17240</v>
      </c>
      <c r="C18" s="165">
        <v>1.1000000000000001</v>
      </c>
      <c r="D18" s="7">
        <f>+B18*C18</f>
        <v>18964</v>
      </c>
      <c r="E18" s="20">
        <f>+B18</f>
        <v>17240</v>
      </c>
      <c r="F18" s="67">
        <f>'Rate Input'!D57</f>
        <v>1.6</v>
      </c>
      <c r="G18" s="292">
        <f>+E18*F18</f>
        <v>27584</v>
      </c>
    </row>
    <row r="19" spans="1:7">
      <c r="A19" t="s">
        <v>67</v>
      </c>
      <c r="B19" s="61">
        <v>13840.8</v>
      </c>
      <c r="C19" s="165">
        <v>19.59</v>
      </c>
      <c r="D19" s="7">
        <f>+B19*C19</f>
        <v>271141.272</v>
      </c>
      <c r="E19" s="20">
        <f>+B19</f>
        <v>13840.8</v>
      </c>
      <c r="F19" s="67">
        <f>'Rate Input'!D58</f>
        <v>25.83</v>
      </c>
      <c r="G19" s="292">
        <f>+E19*F19</f>
        <v>357507.86399999994</v>
      </c>
    </row>
    <row r="20" spans="1:7">
      <c r="A20" t="s">
        <v>107</v>
      </c>
      <c r="B20" s="61">
        <v>0</v>
      </c>
      <c r="C20" s="165"/>
      <c r="D20" s="7"/>
      <c r="E20" s="20">
        <f>+B20</f>
        <v>0</v>
      </c>
      <c r="F20" s="67"/>
      <c r="G20" s="11"/>
    </row>
    <row r="21" spans="1:7">
      <c r="B21" s="58"/>
      <c r="C21" s="165"/>
      <c r="D21" s="7"/>
      <c r="E21" s="20"/>
      <c r="F21" s="67"/>
      <c r="G21" s="11"/>
    </row>
    <row r="22" spans="1:7">
      <c r="A22" t="s">
        <v>65</v>
      </c>
      <c r="B22" s="61">
        <v>26</v>
      </c>
      <c r="C22" s="165">
        <v>0.69</v>
      </c>
      <c r="D22" s="7">
        <f>+B22*C22</f>
        <v>17.939999999999998</v>
      </c>
      <c r="E22" s="20">
        <f>+B22</f>
        <v>26</v>
      </c>
      <c r="F22" s="67">
        <f>'Rate Input'!E55</f>
        <v>0.69</v>
      </c>
      <c r="G22" s="292">
        <f>+E22*F22</f>
        <v>17.939999999999998</v>
      </c>
    </row>
    <row r="23" spans="1:7">
      <c r="B23" s="58"/>
      <c r="C23" s="166"/>
      <c r="D23" s="7"/>
      <c r="E23" s="20"/>
      <c r="F23" s="68"/>
      <c r="G23" s="11"/>
    </row>
    <row r="24" spans="1:7">
      <c r="A24" t="s">
        <v>12</v>
      </c>
      <c r="B24" s="61">
        <v>48</v>
      </c>
      <c r="C24" s="165">
        <v>276</v>
      </c>
      <c r="D24" s="7">
        <f>+B24*C24</f>
        <v>13248</v>
      </c>
      <c r="E24" s="20">
        <f>+B24</f>
        <v>48</v>
      </c>
      <c r="F24" s="67">
        <f>'Rate Input'!B55</f>
        <v>276</v>
      </c>
      <c r="G24" s="292">
        <f>+E24*F24</f>
        <v>13248</v>
      </c>
    </row>
    <row r="25" spans="1:7">
      <c r="B25" s="58"/>
      <c r="C25" s="47"/>
      <c r="D25" s="7"/>
      <c r="E25" s="20"/>
      <c r="F25" s="58"/>
      <c r="G25" s="7"/>
    </row>
    <row r="26" spans="1:7">
      <c r="A26" t="s">
        <v>68</v>
      </c>
      <c r="B26" s="61">
        <v>48</v>
      </c>
      <c r="C26" s="47"/>
      <c r="D26" s="7"/>
      <c r="E26" s="20">
        <f>+B26</f>
        <v>48</v>
      </c>
      <c r="F26" s="58"/>
      <c r="G26" s="7"/>
    </row>
    <row r="27" spans="1:7">
      <c r="C27" s="47"/>
      <c r="D27" s="7"/>
      <c r="E27" s="20"/>
      <c r="F27" s="58"/>
      <c r="G27" s="7"/>
    </row>
    <row r="28" spans="1:7">
      <c r="A28" t="str">
        <f>+RS!A$25</f>
        <v xml:space="preserve">Fuel </v>
      </c>
      <c r="C28" s="177">
        <f>+RS!C25</f>
        <v>1.5985060633393854E-3</v>
      </c>
      <c r="D28" s="7">
        <f>+B14*C28</f>
        <v>24805.014454114702</v>
      </c>
      <c r="E28" s="20"/>
      <c r="F28" s="62">
        <f>C28</f>
        <v>1.5985060633393854E-3</v>
      </c>
      <c r="G28" s="7">
        <f>+E14*F28</f>
        <v>24805.014454114702</v>
      </c>
    </row>
    <row r="29" spans="1:7">
      <c r="D29" s="7"/>
      <c r="F29" s="16" t="s">
        <v>293</v>
      </c>
      <c r="G29" s="7"/>
    </row>
    <row r="30" spans="1:7">
      <c r="A30" s="47" t="s">
        <v>263</v>
      </c>
      <c r="D30" s="46">
        <v>1170</v>
      </c>
      <c r="G30" s="46">
        <v>0</v>
      </c>
    </row>
    <row r="31" spans="1:7">
      <c r="D31" s="46"/>
      <c r="E31" s="20"/>
      <c r="F31" s="67"/>
      <c r="G31" s="46"/>
    </row>
    <row r="32" spans="1:7">
      <c r="A32" t="s">
        <v>185</v>
      </c>
      <c r="C32" s="164">
        <v>1.41E-3</v>
      </c>
      <c r="D32" s="46">
        <v>21751</v>
      </c>
      <c r="E32" s="20"/>
      <c r="F32" s="66"/>
      <c r="G32" s="46">
        <v>0</v>
      </c>
    </row>
    <row r="33" spans="1:10">
      <c r="D33" s="46"/>
      <c r="E33" s="20"/>
      <c r="F33" s="67"/>
      <c r="G33" s="46"/>
    </row>
    <row r="34" spans="1:10">
      <c r="A34" t="s">
        <v>186</v>
      </c>
      <c r="C34" s="165">
        <v>1.1399999999999999</v>
      </c>
      <c r="D34" s="46">
        <v>28618</v>
      </c>
      <c r="E34" s="20"/>
      <c r="F34" s="67"/>
      <c r="G34" s="46">
        <v>0</v>
      </c>
    </row>
    <row r="35" spans="1:10">
      <c r="D35" s="46"/>
      <c r="E35" s="20"/>
      <c r="F35" s="67"/>
      <c r="G35" s="46"/>
    </row>
    <row r="36" spans="1:10">
      <c r="A36" s="47" t="s">
        <v>265</v>
      </c>
      <c r="C36" s="163"/>
      <c r="D36" s="46">
        <v>25082</v>
      </c>
      <c r="E36" s="7"/>
      <c r="F36" s="80"/>
      <c r="G36" s="46">
        <v>0</v>
      </c>
    </row>
    <row r="37" spans="1:10">
      <c r="A37" s="12"/>
      <c r="B37" s="12"/>
      <c r="C37" s="12"/>
      <c r="D37" s="207"/>
      <c r="E37" s="205"/>
      <c r="F37" s="206"/>
      <c r="G37" s="207"/>
    </row>
    <row r="38" spans="1:10">
      <c r="A38" s="47" t="s">
        <v>261</v>
      </c>
      <c r="D38" s="7">
        <f>SUM(D12:D37)</f>
        <v>1237544.4151141145</v>
      </c>
      <c r="G38" s="7">
        <f>SUM(G12:G37)</f>
        <v>1325827.0706041148</v>
      </c>
    </row>
    <row r="40" spans="1:10" s="15" customFormat="1">
      <c r="A40" s="15" t="s">
        <v>180</v>
      </c>
      <c r="C40" s="165">
        <v>0.15</v>
      </c>
      <c r="D40" s="7">
        <f>C40*B24</f>
        <v>7.1999999999999993</v>
      </c>
      <c r="E40" s="20">
        <f>E24</f>
        <v>48</v>
      </c>
      <c r="F40" s="67">
        <f>SGS!F34</f>
        <v>1</v>
      </c>
      <c r="G40" s="7">
        <f>+E40*F40</f>
        <v>48</v>
      </c>
      <c r="H40" s="79"/>
      <c r="I40" s="79"/>
      <c r="J40" s="79"/>
    </row>
    <row r="42" spans="1:10">
      <c r="A42" t="s">
        <v>287</v>
      </c>
      <c r="E42" s="74">
        <f>G38+G40-G28-G46</f>
        <v>878214.82940000016</v>
      </c>
      <c r="F42" s="195">
        <f>SGS!F36</f>
        <v>1.1413000000000001E-2</v>
      </c>
      <c r="G42" s="7">
        <f>+E42*F42</f>
        <v>10023.065847942204</v>
      </c>
    </row>
    <row r="43" spans="1:10">
      <c r="A43" s="12"/>
      <c r="B43" s="12"/>
      <c r="C43" s="12"/>
      <c r="D43" s="12"/>
      <c r="E43" s="209"/>
      <c r="F43" s="209"/>
      <c r="G43" s="209"/>
    </row>
    <row r="44" spans="1:10">
      <c r="A44" t="s">
        <v>262</v>
      </c>
      <c r="D44" s="74">
        <f>SUM(D38:D43)</f>
        <v>1237551.6151141145</v>
      </c>
      <c r="G44" s="74">
        <f>SUM(G38:G43)</f>
        <v>1335898.1364520569</v>
      </c>
    </row>
    <row r="46" spans="1:10">
      <c r="A46" s="47" t="s">
        <v>189</v>
      </c>
      <c r="F46" s="62">
        <f>SGS!$F$40</f>
        <v>2.725E-2</v>
      </c>
      <c r="G46" s="7">
        <f>+E14*F46</f>
        <v>422855.22674999997</v>
      </c>
    </row>
    <row r="48" spans="1:10">
      <c r="G48" s="74"/>
    </row>
    <row r="49" spans="7:7">
      <c r="G49" s="74"/>
    </row>
  </sheetData>
  <pageMargins left="0.75" right="0.75" top="1" bottom="1" header="0.5" footer="0.5"/>
  <pageSetup scale="8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6"/>
  <sheetViews>
    <sheetView topLeftCell="A6" workbookViewId="0">
      <selection activeCell="K29" sqref="K29"/>
    </sheetView>
  </sheetViews>
  <sheetFormatPr defaultRowHeight="12.5"/>
  <cols>
    <col min="1" max="1" width="23.26953125" customWidth="1"/>
    <col min="2" max="2" width="14.453125" customWidth="1"/>
    <col min="3" max="3" width="14.1796875" customWidth="1"/>
    <col min="4" max="4" width="16.26953125" customWidth="1"/>
    <col min="5" max="5" width="16.26953125" style="16" customWidth="1"/>
    <col min="6" max="6" width="13.26953125" style="16" customWidth="1"/>
    <col min="7" max="7" width="17.816406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252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283398759</v>
      </c>
      <c r="C12" s="164">
        <v>3.1260000000000003E-2</v>
      </c>
      <c r="D12" s="7">
        <f>+B12*C12</f>
        <v>8859045.20634</v>
      </c>
      <c r="E12" s="20">
        <f>+B12</f>
        <v>283398759</v>
      </c>
      <c r="F12" s="66">
        <f>'Rate Input'!C59</f>
        <v>2.8910000000000002E-2</v>
      </c>
      <c r="G12" s="292">
        <f>+E12*F12</f>
        <v>8193058.1226900006</v>
      </c>
    </row>
    <row r="13" spans="1:7">
      <c r="C13" s="47"/>
      <c r="D13" s="7"/>
      <c r="E13" s="20"/>
      <c r="F13" s="58"/>
      <c r="G13" s="11"/>
    </row>
    <row r="14" spans="1:7">
      <c r="A14" t="s">
        <v>11</v>
      </c>
      <c r="B14" s="61">
        <v>283356811</v>
      </c>
      <c r="C14" s="47"/>
      <c r="D14" s="7"/>
      <c r="E14" s="20">
        <f>+B14</f>
        <v>283356811</v>
      </c>
      <c r="F14" s="58"/>
      <c r="G14" s="11"/>
    </row>
    <row r="15" spans="1:7">
      <c r="C15" s="47"/>
      <c r="D15" s="7"/>
      <c r="E15" s="20"/>
      <c r="F15" s="58"/>
      <c r="G15" s="11"/>
    </row>
    <row r="16" spans="1:7">
      <c r="A16" s="3" t="s">
        <v>56</v>
      </c>
      <c r="C16" s="47"/>
      <c r="D16" s="7"/>
      <c r="E16" s="20"/>
      <c r="F16" s="58"/>
      <c r="G16" s="11"/>
    </row>
    <row r="17" spans="1:7">
      <c r="A17" t="s">
        <v>47</v>
      </c>
      <c r="B17" s="61">
        <v>515170</v>
      </c>
      <c r="C17" s="165">
        <v>15.21</v>
      </c>
      <c r="D17" s="7">
        <f>+B17*C17</f>
        <v>7835735.7000000002</v>
      </c>
      <c r="E17" s="20">
        <f>+B17</f>
        <v>515170</v>
      </c>
      <c r="F17" s="67">
        <f>'Rate Input'!D60</f>
        <v>20.57</v>
      </c>
      <c r="G17" s="292">
        <f>+E17*F17</f>
        <v>10597046.9</v>
      </c>
    </row>
    <row r="18" spans="1:7">
      <c r="A18" t="s">
        <v>66</v>
      </c>
      <c r="B18" s="61">
        <v>485643</v>
      </c>
      <c r="C18" s="165">
        <v>1.07</v>
      </c>
      <c r="D18" s="7">
        <f>+B18*C18</f>
        <v>519638.01</v>
      </c>
      <c r="E18" s="20">
        <f>+B18</f>
        <v>485643</v>
      </c>
      <c r="F18" s="67">
        <f>'Rate Input'!D61</f>
        <v>1.55</v>
      </c>
      <c r="G18" s="292">
        <f>+E18*F18</f>
        <v>752746.65</v>
      </c>
    </row>
    <row r="19" spans="1:7">
      <c r="A19" t="s">
        <v>67</v>
      </c>
      <c r="B19" s="61">
        <v>111893</v>
      </c>
      <c r="C19" s="165">
        <v>16.53</v>
      </c>
      <c r="D19" s="7">
        <f>+B19*C19</f>
        <v>1849591.29</v>
      </c>
      <c r="E19" s="20">
        <f>+B19</f>
        <v>111893</v>
      </c>
      <c r="F19" s="67">
        <f>'Rate Input'!D62</f>
        <v>22.21</v>
      </c>
      <c r="G19" s="292">
        <f>+E19*F19</f>
        <v>2485143.5300000003</v>
      </c>
    </row>
    <row r="20" spans="1:7">
      <c r="A20" t="s">
        <v>107</v>
      </c>
      <c r="B20" s="61">
        <v>0</v>
      </c>
      <c r="C20" s="165"/>
      <c r="D20" s="7"/>
      <c r="E20" s="20">
        <f>+B20</f>
        <v>0</v>
      </c>
      <c r="F20" s="67"/>
      <c r="G20" s="11"/>
    </row>
    <row r="21" spans="1:7">
      <c r="B21" s="58"/>
      <c r="C21" s="165"/>
      <c r="D21" s="7"/>
      <c r="E21" s="20"/>
      <c r="F21" s="67"/>
      <c r="G21" s="11"/>
    </row>
    <row r="22" spans="1:7">
      <c r="A22" t="s">
        <v>65</v>
      </c>
      <c r="B22" s="61">
        <v>97486</v>
      </c>
      <c r="C22" s="165">
        <v>0.69</v>
      </c>
      <c r="D22" s="7">
        <f>+B22*C22</f>
        <v>67265.34</v>
      </c>
      <c r="E22" s="20">
        <f>+B22</f>
        <v>97486</v>
      </c>
      <c r="F22" s="67">
        <f>'Rate Input'!E59</f>
        <v>0.69</v>
      </c>
      <c r="G22" s="292">
        <f>+E22*F22</f>
        <v>67265.34</v>
      </c>
    </row>
    <row r="23" spans="1:7">
      <c r="B23" s="58"/>
      <c r="C23" s="166"/>
      <c r="D23" s="7"/>
      <c r="E23" s="20"/>
      <c r="F23" s="68"/>
      <c r="G23" s="11"/>
    </row>
    <row r="24" spans="1:7">
      <c r="A24" t="s">
        <v>12</v>
      </c>
      <c r="B24" s="61">
        <v>420</v>
      </c>
      <c r="C24" s="165">
        <v>276</v>
      </c>
      <c r="D24" s="7">
        <f>+B24*C24</f>
        <v>115920</v>
      </c>
      <c r="E24" s="20">
        <f>+B24</f>
        <v>420</v>
      </c>
      <c r="F24" s="67">
        <f>'Rate Input'!B59</f>
        <v>276</v>
      </c>
      <c r="G24" s="292">
        <f>+E24*F24</f>
        <v>115920</v>
      </c>
    </row>
    <row r="25" spans="1:7">
      <c r="B25" s="58"/>
      <c r="C25" s="47"/>
      <c r="D25" s="7"/>
      <c r="E25" s="20"/>
      <c r="F25" s="58"/>
      <c r="G25" s="7"/>
    </row>
    <row r="26" spans="1:7">
      <c r="A26" t="s">
        <v>68</v>
      </c>
      <c r="B26" s="61">
        <v>420</v>
      </c>
      <c r="C26" s="47"/>
      <c r="D26" s="7"/>
      <c r="E26" s="20">
        <f>+B26</f>
        <v>420</v>
      </c>
      <c r="F26" s="58"/>
      <c r="G26" s="7"/>
    </row>
    <row r="27" spans="1:7">
      <c r="C27" s="47"/>
      <c r="D27" s="7"/>
      <c r="E27" s="20"/>
      <c r="F27" s="58"/>
      <c r="G27" s="7"/>
    </row>
    <row r="28" spans="1:7">
      <c r="A28" t="str">
        <f>+RS!A$25</f>
        <v xml:space="preserve">Fuel </v>
      </c>
      <c r="C28" s="177">
        <f>+RS!C25</f>
        <v>1.5985060633393854E-3</v>
      </c>
      <c r="D28" s="7">
        <f>+B14*C28</f>
        <v>452947.58047201223</v>
      </c>
      <c r="E28" s="20"/>
      <c r="F28" s="62">
        <f>C28</f>
        <v>1.5985060633393854E-3</v>
      </c>
      <c r="G28" s="7">
        <v>452948</v>
      </c>
    </row>
    <row r="29" spans="1:7">
      <c r="D29" s="7"/>
      <c r="G29" s="7"/>
    </row>
    <row r="30" spans="1:7">
      <c r="A30" s="47" t="s">
        <v>263</v>
      </c>
      <c r="D30" s="46">
        <v>18925</v>
      </c>
      <c r="G30" s="46">
        <v>0</v>
      </c>
    </row>
    <row r="31" spans="1:7">
      <c r="D31" s="46"/>
      <c r="E31" s="20"/>
      <c r="F31" s="67"/>
      <c r="G31" s="46"/>
    </row>
    <row r="32" spans="1:7">
      <c r="A32" t="s">
        <v>185</v>
      </c>
      <c r="C32" s="164">
        <v>1.41E-3</v>
      </c>
      <c r="D32" s="46">
        <v>397123</v>
      </c>
      <c r="E32" s="20"/>
      <c r="F32" s="66"/>
      <c r="G32" s="46">
        <v>0</v>
      </c>
    </row>
    <row r="33" spans="1:10">
      <c r="D33" s="46"/>
      <c r="E33" s="20"/>
      <c r="F33" s="67"/>
      <c r="G33" s="46"/>
    </row>
    <row r="34" spans="1:10">
      <c r="A34" t="s">
        <v>186</v>
      </c>
      <c r="C34" s="165">
        <v>1.1399999999999999</v>
      </c>
      <c r="D34" s="46">
        <v>555904</v>
      </c>
      <c r="E34" s="20"/>
      <c r="F34" s="67"/>
      <c r="G34" s="46">
        <v>0</v>
      </c>
    </row>
    <row r="35" spans="1:10">
      <c r="D35" s="46"/>
      <c r="E35" s="20"/>
      <c r="F35" s="67"/>
      <c r="G35" s="46"/>
    </row>
    <row r="36" spans="1:10">
      <c r="A36" t="s">
        <v>18</v>
      </c>
      <c r="C36" s="163">
        <v>5.4338999999999998E-2</v>
      </c>
      <c r="D36" s="46">
        <v>400553</v>
      </c>
      <c r="E36" s="11"/>
      <c r="F36" s="80"/>
      <c r="G36" s="46">
        <v>0</v>
      </c>
    </row>
    <row r="37" spans="1:10">
      <c r="A37" s="12"/>
      <c r="B37" s="12"/>
      <c r="C37" s="12"/>
      <c r="D37" s="207"/>
      <c r="E37" s="205"/>
      <c r="F37" s="206"/>
      <c r="G37" s="207"/>
    </row>
    <row r="38" spans="1:10" s="15" customFormat="1">
      <c r="A38" s="181" t="s">
        <v>261</v>
      </c>
      <c r="D38" s="11">
        <f>SUM(D12:D36)</f>
        <v>21072648.126812011</v>
      </c>
      <c r="E38" s="79"/>
      <c r="F38" s="79"/>
      <c r="G38" s="11">
        <f>SUM(G12:G36)</f>
        <v>22664128.542690001</v>
      </c>
      <c r="H38" s="79"/>
      <c r="I38" s="79"/>
      <c r="J38" s="79"/>
    </row>
    <row r="40" spans="1:10" s="15" customFormat="1">
      <c r="A40" s="15" t="s">
        <v>180</v>
      </c>
      <c r="C40" s="165">
        <v>0.15</v>
      </c>
      <c r="D40" s="7">
        <f>C40*B24</f>
        <v>63</v>
      </c>
      <c r="E40" s="20">
        <v>420</v>
      </c>
      <c r="F40" s="67">
        <f>SGS!F34</f>
        <v>1</v>
      </c>
      <c r="G40" s="7">
        <f>+E40*F40</f>
        <v>420</v>
      </c>
      <c r="H40" s="79"/>
      <c r="I40" s="79"/>
      <c r="J40" s="79"/>
    </row>
    <row r="42" spans="1:10">
      <c r="A42" t="s">
        <v>288</v>
      </c>
      <c r="E42" s="74">
        <f>G38+G40-G28-G46</f>
        <v>14490127.44294</v>
      </c>
      <c r="F42" s="195">
        <f>SGS!F36</f>
        <v>1.1413000000000001E-2</v>
      </c>
      <c r="G42" s="7">
        <f>+E42*F42</f>
        <v>165375.82450627425</v>
      </c>
    </row>
    <row r="43" spans="1:10">
      <c r="A43" s="12"/>
      <c r="B43" s="12"/>
      <c r="C43" s="12"/>
      <c r="D43" s="12"/>
      <c r="E43" s="209"/>
      <c r="F43" s="209"/>
      <c r="G43" s="209"/>
    </row>
    <row r="44" spans="1:10">
      <c r="A44" t="s">
        <v>262</v>
      </c>
      <c r="D44" s="74">
        <f>SUM(D38:D43)</f>
        <v>21072711.126812011</v>
      </c>
      <c r="G44" s="74">
        <f>SUM(G38:G43)</f>
        <v>22829924.367196277</v>
      </c>
    </row>
    <row r="46" spans="1:10">
      <c r="A46" s="47" t="s">
        <v>189</v>
      </c>
      <c r="F46" s="62">
        <f>SGS!$F$40</f>
        <v>2.725E-2</v>
      </c>
      <c r="G46" s="7">
        <f>+E14*F46</f>
        <v>7721473.0997500001</v>
      </c>
    </row>
  </sheetData>
  <pageMargins left="0.75" right="0.75" top="1" bottom="1" header="0.5" footer="0.5"/>
  <pageSetup scale="82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0"/>
  <sheetViews>
    <sheetView topLeftCell="A4" workbookViewId="0">
      <selection activeCell="L16" sqref="L16"/>
    </sheetView>
  </sheetViews>
  <sheetFormatPr defaultRowHeight="12.5"/>
  <cols>
    <col min="1" max="1" width="23.26953125" customWidth="1"/>
    <col min="2" max="2" width="14.453125" customWidth="1"/>
    <col min="3" max="3" width="14.1796875" customWidth="1"/>
    <col min="4" max="4" width="16.26953125" customWidth="1"/>
    <col min="5" max="5" width="16.26953125" style="16" customWidth="1"/>
    <col min="6" max="6" width="13.26953125" style="16" customWidth="1"/>
    <col min="7" max="7" width="17.8164062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253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f>1630174706+148272000</f>
        <v>1778446706</v>
      </c>
      <c r="C12" s="167">
        <v>3.09E-2</v>
      </c>
      <c r="D12" s="7">
        <f>+B12*C12</f>
        <v>54954003.215400003</v>
      </c>
      <c r="E12" s="20">
        <f>+B12</f>
        <v>1778446706</v>
      </c>
      <c r="F12" s="66">
        <f>'Rate Input'!C63</f>
        <v>2.852E-2</v>
      </c>
      <c r="G12" s="292">
        <f>+E12*F12</f>
        <v>50721300.055119999</v>
      </c>
    </row>
    <row r="13" spans="1:7">
      <c r="C13" s="168"/>
      <c r="D13" s="7"/>
      <c r="E13" s="20"/>
      <c r="F13" s="58"/>
      <c r="G13" s="11"/>
    </row>
    <row r="14" spans="1:7">
      <c r="A14" t="s">
        <v>11</v>
      </c>
      <c r="B14" s="61">
        <f>1630090947+148272000</f>
        <v>1778362947</v>
      </c>
      <c r="C14" s="168"/>
      <c r="D14" s="7"/>
      <c r="E14" s="20">
        <f>+B14</f>
        <v>1778362947</v>
      </c>
      <c r="F14" s="58"/>
      <c r="G14" s="11"/>
    </row>
    <row r="15" spans="1:7">
      <c r="C15" s="168"/>
      <c r="D15" s="7"/>
      <c r="E15" s="20"/>
      <c r="F15" s="58"/>
      <c r="G15" s="11"/>
    </row>
    <row r="16" spans="1:7">
      <c r="A16" s="3" t="s">
        <v>56</v>
      </c>
      <c r="C16" s="168"/>
      <c r="D16" s="7"/>
      <c r="E16" s="20"/>
      <c r="F16" s="58"/>
      <c r="G16" s="11"/>
    </row>
    <row r="17" spans="1:7">
      <c r="A17" t="s">
        <v>47</v>
      </c>
      <c r="B17" s="61">
        <f>2689815+108354</f>
        <v>2798169</v>
      </c>
      <c r="C17" s="169">
        <v>10.02</v>
      </c>
      <c r="D17" s="7">
        <f>+B17*C17</f>
        <v>28037653.379999999</v>
      </c>
      <c r="E17" s="20">
        <f>+B17</f>
        <v>2798169</v>
      </c>
      <c r="F17" s="67">
        <f>'Rate Input'!D64</f>
        <v>13.69</v>
      </c>
      <c r="G17" s="292">
        <f>+E17*F17</f>
        <v>38306933.609999999</v>
      </c>
    </row>
    <row r="18" spans="1:7">
      <c r="A18" t="s">
        <v>66</v>
      </c>
      <c r="B18" s="61">
        <f>2652720+100110</f>
        <v>2752830</v>
      </c>
      <c r="C18" s="169">
        <v>1.05</v>
      </c>
      <c r="D18" s="7">
        <f>+B18*C18</f>
        <v>2890471.5</v>
      </c>
      <c r="E18" s="20">
        <f>+B18</f>
        <v>2752830</v>
      </c>
      <c r="F18" s="67">
        <f>'Rate Input'!D65</f>
        <v>1.51</v>
      </c>
      <c r="G18" s="292">
        <f>+E18*F18</f>
        <v>4156773.3</v>
      </c>
    </row>
    <row r="19" spans="1:7">
      <c r="A19" t="s">
        <v>67</v>
      </c>
      <c r="B19" s="61">
        <f>198283+112979</f>
        <v>311262</v>
      </c>
      <c r="C19" s="169">
        <v>11.32</v>
      </c>
      <c r="D19" s="7">
        <f>+B19*C19</f>
        <v>3523485.8400000003</v>
      </c>
      <c r="E19" s="20">
        <f>+B19</f>
        <v>311262</v>
      </c>
      <c r="F19" s="67">
        <f>'Rate Input'!D66</f>
        <v>15.3</v>
      </c>
      <c r="G19" s="292">
        <f>+E19*F19</f>
        <v>4762308.6000000006</v>
      </c>
    </row>
    <row r="20" spans="1:7">
      <c r="A20" t="s">
        <v>107</v>
      </c>
      <c r="B20" s="61">
        <v>0</v>
      </c>
      <c r="C20" s="169"/>
      <c r="D20" s="7"/>
      <c r="E20" s="20">
        <f>+B20</f>
        <v>0</v>
      </c>
      <c r="F20" s="67"/>
      <c r="G20" s="11"/>
    </row>
    <row r="21" spans="1:7">
      <c r="B21" s="58"/>
      <c r="C21" s="169"/>
      <c r="D21" s="7"/>
      <c r="E21" s="20"/>
      <c r="F21" s="67"/>
      <c r="G21" s="11"/>
    </row>
    <row r="22" spans="1:7">
      <c r="A22" t="s">
        <v>281</v>
      </c>
      <c r="B22" s="61">
        <v>11420</v>
      </c>
      <c r="C22" s="169">
        <v>-3.68</v>
      </c>
      <c r="D22" s="7">
        <f>+B22*C22</f>
        <v>-42025.599999999999</v>
      </c>
      <c r="E22" s="20">
        <f>+B22</f>
        <v>11420</v>
      </c>
      <c r="F22" s="67">
        <f>C22</f>
        <v>-3.68</v>
      </c>
      <c r="G22" s="292">
        <f>+E22*F22</f>
        <v>-42025.599999999999</v>
      </c>
    </row>
    <row r="23" spans="1:7">
      <c r="B23" s="58"/>
      <c r="C23" s="169"/>
      <c r="D23" s="7"/>
      <c r="E23" s="20"/>
      <c r="F23" s="67"/>
      <c r="G23" s="11"/>
    </row>
    <row r="24" spans="1:7">
      <c r="A24" t="s">
        <v>65</v>
      </c>
      <c r="B24" s="61">
        <v>329002</v>
      </c>
      <c r="C24" s="169">
        <v>0.69</v>
      </c>
      <c r="D24" s="7">
        <f>+B24*C24</f>
        <v>227011.37999999998</v>
      </c>
      <c r="E24" s="20">
        <f>+B24</f>
        <v>329002</v>
      </c>
      <c r="F24" s="67">
        <f>'Rate Input'!E63</f>
        <v>0.69</v>
      </c>
      <c r="G24" s="292">
        <f>+E24*F24</f>
        <v>227011.37999999998</v>
      </c>
    </row>
    <row r="25" spans="1:7">
      <c r="B25" s="58"/>
      <c r="C25" s="170"/>
      <c r="D25" s="7"/>
      <c r="E25" s="20"/>
      <c r="F25" s="68"/>
      <c r="G25" s="11"/>
    </row>
    <row r="26" spans="1:7">
      <c r="A26" t="s">
        <v>12</v>
      </c>
      <c r="B26" s="61">
        <f>300+12</f>
        <v>312</v>
      </c>
      <c r="C26" s="169">
        <v>794</v>
      </c>
      <c r="D26" s="7">
        <f>+B26*C26</f>
        <v>247728</v>
      </c>
      <c r="E26" s="20">
        <f>+B26</f>
        <v>312</v>
      </c>
      <c r="F26" s="67">
        <f>'Rate Input'!B63</f>
        <v>794</v>
      </c>
      <c r="G26" s="292">
        <f>+E26*F26</f>
        <v>247728</v>
      </c>
    </row>
    <row r="27" spans="1:7">
      <c r="B27" s="58"/>
      <c r="C27" s="47"/>
      <c r="D27" s="7"/>
      <c r="E27" s="20"/>
      <c r="F27" s="58"/>
      <c r="G27" s="7"/>
    </row>
    <row r="28" spans="1:7">
      <c r="A28" t="s">
        <v>68</v>
      </c>
      <c r="B28" s="61">
        <f>300+12</f>
        <v>312</v>
      </c>
      <c r="C28" s="47"/>
      <c r="D28" s="7"/>
      <c r="E28" s="20">
        <f>+B28</f>
        <v>312</v>
      </c>
      <c r="F28" s="58"/>
      <c r="G28" s="7"/>
    </row>
    <row r="29" spans="1:7">
      <c r="C29" s="47"/>
      <c r="D29" s="7"/>
      <c r="E29" s="20"/>
      <c r="F29" s="58"/>
      <c r="G29" s="7"/>
    </row>
    <row r="30" spans="1:7">
      <c r="A30" t="str">
        <f>+RS!A$25</f>
        <v xml:space="preserve">Fuel </v>
      </c>
      <c r="C30" s="177">
        <f>+RS!C25</f>
        <v>1.5985060633393854E-3</v>
      </c>
      <c r="D30" s="7">
        <f>+B14*C30</f>
        <v>2842723.9535975978</v>
      </c>
      <c r="E30" s="20"/>
      <c r="F30" s="62">
        <f>C30</f>
        <v>1.5985060633393854E-3</v>
      </c>
      <c r="G30" s="7">
        <f>+E14*F30</f>
        <v>2842723.9535975978</v>
      </c>
    </row>
    <row r="31" spans="1:7">
      <c r="D31" s="7"/>
      <c r="G31" s="7"/>
    </row>
    <row r="32" spans="1:7">
      <c r="A32" s="47" t="s">
        <v>263</v>
      </c>
      <c r="D32" s="46">
        <f>81421+5968</f>
        <v>87389</v>
      </c>
      <c r="G32" s="46">
        <v>0</v>
      </c>
    </row>
    <row r="33" spans="1:7">
      <c r="D33" s="46"/>
      <c r="E33" s="20"/>
      <c r="F33" s="67"/>
      <c r="G33" s="46"/>
    </row>
    <row r="34" spans="1:7">
      <c r="A34" t="s">
        <v>185</v>
      </c>
      <c r="C34" s="164">
        <v>1.41E-3</v>
      </c>
      <c r="D34" s="46">
        <f>2284076+209064</f>
        <v>2493140</v>
      </c>
      <c r="E34" s="20"/>
      <c r="F34" s="66"/>
      <c r="G34" s="46">
        <v>0</v>
      </c>
    </row>
    <row r="35" spans="1:7">
      <c r="D35" s="46"/>
      <c r="E35" s="20"/>
      <c r="F35" s="67"/>
      <c r="G35" s="46"/>
    </row>
    <row r="36" spans="1:7">
      <c r="A36" t="s">
        <v>186</v>
      </c>
      <c r="C36" s="165">
        <v>1.1399999999999999</v>
      </c>
      <c r="D36" s="46">
        <f>2528426+243798</f>
        <v>2772224</v>
      </c>
      <c r="E36" s="20"/>
      <c r="F36" s="67"/>
      <c r="G36" s="46">
        <v>0</v>
      </c>
    </row>
    <row r="37" spans="1:7">
      <c r="D37" s="46"/>
      <c r="E37" s="20"/>
      <c r="F37" s="67"/>
      <c r="G37" s="46"/>
    </row>
    <row r="38" spans="1:7">
      <c r="A38" t="str">
        <f>+RS!A$34</f>
        <v>Environmental Surcharge</v>
      </c>
      <c r="C38" s="163">
        <v>5.4338999999999998E-2</v>
      </c>
      <c r="D38" s="46">
        <f>1365952+78468</f>
        <v>1444420</v>
      </c>
      <c r="E38" s="7"/>
      <c r="F38" s="80"/>
      <c r="G38" s="46">
        <v>0</v>
      </c>
    </row>
    <row r="39" spans="1:7">
      <c r="A39" s="12"/>
      <c r="B39" s="12"/>
      <c r="C39" s="12"/>
      <c r="D39" s="13"/>
      <c r="E39" s="209"/>
      <c r="F39" s="209"/>
      <c r="G39" s="13"/>
    </row>
    <row r="40" spans="1:7">
      <c r="A40" s="47" t="s">
        <v>261</v>
      </c>
      <c r="D40" s="7">
        <f>SUM(D12:D38)</f>
        <v>99478224.668997616</v>
      </c>
      <c r="G40" s="7">
        <f>SUM(G12:G38)</f>
        <v>101222753.29871759</v>
      </c>
    </row>
    <row r="42" spans="1:7">
      <c r="A42" t="s">
        <v>180</v>
      </c>
      <c r="C42" s="169">
        <v>0.15</v>
      </c>
      <c r="D42" s="7">
        <f>C42*E42</f>
        <v>46.8</v>
      </c>
      <c r="E42" s="20">
        <f>E26</f>
        <v>312</v>
      </c>
      <c r="F42" s="67">
        <f>SGS!F34</f>
        <v>1</v>
      </c>
      <c r="G42" s="7">
        <f>+E42*F42</f>
        <v>312</v>
      </c>
    </row>
    <row r="44" spans="1:7">
      <c r="A44" t="s">
        <v>286</v>
      </c>
      <c r="E44" s="74">
        <f>G40+G42-G30-G48</f>
        <v>49919951.039369985</v>
      </c>
      <c r="F44" s="195">
        <f>SGS!F36</f>
        <v>1.1413000000000001E-2</v>
      </c>
      <c r="G44" s="7">
        <f>+E44*F44</f>
        <v>569736.40121232974</v>
      </c>
    </row>
    <row r="45" spans="1:7">
      <c r="A45" s="12"/>
      <c r="B45" s="12"/>
      <c r="C45" s="12"/>
      <c r="D45" s="12"/>
      <c r="E45" s="209"/>
      <c r="F45" s="209"/>
      <c r="G45" s="209"/>
    </row>
    <row r="46" spans="1:7">
      <c r="A46" t="s">
        <v>262</v>
      </c>
      <c r="D46" s="74">
        <f>SUM(D40:D45)</f>
        <v>99478271.468997613</v>
      </c>
      <c r="G46" s="74">
        <f>SUM(G40:G45)</f>
        <v>101792801.69992992</v>
      </c>
    </row>
    <row r="48" spans="1:7">
      <c r="A48" s="47" t="s">
        <v>189</v>
      </c>
      <c r="F48" s="62">
        <f>SGS!$F$40</f>
        <v>2.725E-2</v>
      </c>
      <c r="G48" s="7">
        <f>+E14*F48</f>
        <v>48460390.305749997</v>
      </c>
    </row>
    <row r="50" spans="7:7">
      <c r="G50" s="74"/>
    </row>
  </sheetData>
  <phoneticPr fontId="0" type="noConversion"/>
  <pageMargins left="0.75" right="0.75" top="1" bottom="1" header="0.5" footer="0.5"/>
  <pageSetup scale="78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6"/>
  <sheetViews>
    <sheetView topLeftCell="A7" workbookViewId="0">
      <selection activeCell="G12" sqref="G12:G24"/>
    </sheetView>
  </sheetViews>
  <sheetFormatPr defaultRowHeight="12.5"/>
  <cols>
    <col min="1" max="1" width="21.7265625" customWidth="1"/>
    <col min="2" max="2" width="15" customWidth="1"/>
    <col min="3" max="3" width="11.7265625" customWidth="1"/>
    <col min="4" max="4" width="14" customWidth="1"/>
    <col min="5" max="5" width="16.26953125" style="16" customWidth="1"/>
    <col min="6" max="6" width="14.7265625" style="16" customWidth="1"/>
    <col min="7" max="7" width="16.1796875" style="16" customWidth="1"/>
    <col min="8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254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61">
        <v>313600300</v>
      </c>
      <c r="C12" s="164">
        <v>3.0519999999999999E-2</v>
      </c>
      <c r="D12" s="7">
        <f>+B12*C12</f>
        <v>9571081.1559999995</v>
      </c>
      <c r="E12" s="20">
        <f>+B12</f>
        <v>313600300</v>
      </c>
      <c r="F12" s="66">
        <f>'Rate Input'!C67</f>
        <v>2.8129999999999999E-2</v>
      </c>
      <c r="G12" s="292">
        <f>+E12*F12</f>
        <v>8821576.4389999993</v>
      </c>
    </row>
    <row r="13" spans="1:7">
      <c r="B13" s="4"/>
      <c r="C13" s="14"/>
      <c r="D13" s="7"/>
      <c r="E13" s="20"/>
      <c r="F13" s="58"/>
      <c r="G13" s="11"/>
    </row>
    <row r="14" spans="1:7">
      <c r="A14" t="s">
        <v>11</v>
      </c>
      <c r="B14" s="4">
        <f>B12</f>
        <v>313600300</v>
      </c>
      <c r="C14" s="14"/>
      <c r="D14" s="7"/>
      <c r="E14" s="20">
        <f>+B14</f>
        <v>313600300</v>
      </c>
      <c r="F14" s="58"/>
      <c r="G14" s="11"/>
    </row>
    <row r="15" spans="1:7">
      <c r="B15" s="4"/>
      <c r="C15" s="14"/>
      <c r="D15" s="7"/>
      <c r="E15" s="20"/>
      <c r="F15" s="58"/>
      <c r="G15" s="11"/>
    </row>
    <row r="16" spans="1:7">
      <c r="A16" s="3" t="s">
        <v>56</v>
      </c>
      <c r="B16" s="4"/>
      <c r="C16" s="14"/>
      <c r="D16" s="7"/>
      <c r="E16" s="20"/>
      <c r="F16" s="58"/>
      <c r="G16" s="11"/>
    </row>
    <row r="17" spans="1:7">
      <c r="A17" t="s">
        <v>47</v>
      </c>
      <c r="B17" s="61">
        <v>169183.2</v>
      </c>
      <c r="C17" s="165">
        <v>9.75</v>
      </c>
      <c r="D17" s="7">
        <f>+B17*C17</f>
        <v>1649536.2000000002</v>
      </c>
      <c r="E17" s="20">
        <f>+B17</f>
        <v>169183.2</v>
      </c>
      <c r="F17" s="67">
        <f>'Rate Input'!D68</f>
        <v>13.26</v>
      </c>
      <c r="G17" s="292">
        <f>+E17*F17</f>
        <v>2243369.2320000003</v>
      </c>
    </row>
    <row r="18" spans="1:7">
      <c r="A18" t="s">
        <v>66</v>
      </c>
      <c r="B18" s="61">
        <v>164990.70000000001</v>
      </c>
      <c r="C18" s="165">
        <v>1.04</v>
      </c>
      <c r="D18" s="7">
        <f>+B18*C18</f>
        <v>171590.32800000001</v>
      </c>
      <c r="E18" s="20">
        <f>+B18</f>
        <v>164990.70000000001</v>
      </c>
      <c r="F18" s="67">
        <f>'Rate Input'!D69</f>
        <v>1.49</v>
      </c>
      <c r="G18" s="292">
        <f>+E18*F18</f>
        <v>245836.14300000001</v>
      </c>
    </row>
    <row r="19" spans="1:7">
      <c r="A19" t="s">
        <v>67</v>
      </c>
      <c r="B19" s="61">
        <v>350678.1</v>
      </c>
      <c r="C19" s="165">
        <v>11.03</v>
      </c>
      <c r="D19" s="7">
        <f>+B19*C19</f>
        <v>3867979.4429999995</v>
      </c>
      <c r="E19" s="20">
        <f>+B19</f>
        <v>350678.1</v>
      </c>
      <c r="F19" s="67">
        <f>'Rate Input'!D70</f>
        <v>14.86</v>
      </c>
      <c r="G19" s="292">
        <f>+E19*F19</f>
        <v>5211076.5659999996</v>
      </c>
    </row>
    <row r="20" spans="1:7">
      <c r="A20" t="s">
        <v>107</v>
      </c>
      <c r="B20" s="61">
        <v>0</v>
      </c>
      <c r="C20" s="165"/>
      <c r="D20" s="7"/>
      <c r="E20" s="20">
        <f>+B20</f>
        <v>0</v>
      </c>
      <c r="F20" s="67"/>
      <c r="G20" s="11"/>
    </row>
    <row r="21" spans="1:7">
      <c r="B21" s="61"/>
      <c r="C21" s="165"/>
      <c r="D21" s="7"/>
      <c r="E21" s="20"/>
      <c r="F21" s="67"/>
      <c r="G21" s="11"/>
    </row>
    <row r="22" spans="1:7">
      <c r="A22" t="s">
        <v>65</v>
      </c>
      <c r="B22" s="61">
        <v>28674</v>
      </c>
      <c r="C22" s="165">
        <v>0.69</v>
      </c>
      <c r="D22" s="7">
        <f>+B22*C22</f>
        <v>19785.059999999998</v>
      </c>
      <c r="E22" s="20">
        <f>+B22</f>
        <v>28674</v>
      </c>
      <c r="F22" s="67">
        <f>'Rate Input'!E67</f>
        <v>0.69</v>
      </c>
      <c r="G22" s="292">
        <f>+E22*F22</f>
        <v>19785.059999999998</v>
      </c>
    </row>
    <row r="23" spans="1:7">
      <c r="B23" s="61"/>
      <c r="C23" s="166"/>
      <c r="D23" s="7"/>
      <c r="E23" s="20"/>
      <c r="F23" s="68"/>
      <c r="G23" s="11"/>
    </row>
    <row r="24" spans="1:7">
      <c r="A24" t="s">
        <v>12</v>
      </c>
      <c r="B24" s="61">
        <v>36</v>
      </c>
      <c r="C24" s="165">
        <v>1353</v>
      </c>
      <c r="D24" s="7">
        <f>+B24*C24</f>
        <v>48708</v>
      </c>
      <c r="E24" s="20">
        <f>+B24</f>
        <v>36</v>
      </c>
      <c r="F24" s="67">
        <f>'Rate Input'!B67</f>
        <v>1353</v>
      </c>
      <c r="G24" s="292">
        <f>+E24*F24</f>
        <v>48708</v>
      </c>
    </row>
    <row r="25" spans="1:7">
      <c r="B25" s="61"/>
      <c r="C25" s="47"/>
      <c r="D25" s="7"/>
      <c r="E25" s="20"/>
      <c r="F25" s="58"/>
      <c r="G25" s="7"/>
    </row>
    <row r="26" spans="1:7">
      <c r="A26" t="s">
        <v>13</v>
      </c>
      <c r="B26" s="61">
        <v>36</v>
      </c>
      <c r="C26" s="47"/>
      <c r="D26" s="7"/>
      <c r="E26" s="20">
        <f>+B26</f>
        <v>36</v>
      </c>
      <c r="F26" s="58"/>
      <c r="G26" s="7"/>
    </row>
    <row r="27" spans="1:7">
      <c r="C27" s="47"/>
      <c r="D27" s="7"/>
      <c r="E27" s="20"/>
      <c r="F27" s="58"/>
      <c r="G27" s="7"/>
    </row>
    <row r="28" spans="1:7">
      <c r="A28" t="str">
        <f>+RS!A$25</f>
        <v xml:space="preserve">Fuel </v>
      </c>
      <c r="C28" s="177">
        <f>+RS!C25</f>
        <v>1.5985060633393854E-3</v>
      </c>
      <c r="D28" s="7">
        <f>+B14*C28</f>
        <v>501291.98101505026</v>
      </c>
      <c r="F28" s="62">
        <f>C28</f>
        <v>1.5985060633393854E-3</v>
      </c>
      <c r="G28" s="7">
        <f>+E14*F28</f>
        <v>501291.98101505026</v>
      </c>
    </row>
    <row r="29" spans="1:7">
      <c r="D29" s="7"/>
      <c r="G29" s="7"/>
    </row>
    <row r="30" spans="1:7">
      <c r="A30" s="47" t="s">
        <v>263</v>
      </c>
      <c r="D30" s="46">
        <v>15846</v>
      </c>
      <c r="G30" s="46"/>
    </row>
    <row r="31" spans="1:7">
      <c r="D31" s="46"/>
      <c r="E31" s="20"/>
      <c r="F31" s="67"/>
      <c r="G31" s="46"/>
    </row>
    <row r="32" spans="1:7">
      <c r="A32" t="s">
        <v>185</v>
      </c>
      <c r="C32" s="164">
        <v>1.41E-3</v>
      </c>
      <c r="D32" s="46">
        <v>439441</v>
      </c>
      <c r="E32" s="20"/>
      <c r="F32" s="66"/>
      <c r="G32" s="46">
        <f>+F32*E14</f>
        <v>0</v>
      </c>
    </row>
    <row r="33" spans="1:10">
      <c r="D33" s="46"/>
      <c r="E33" s="20"/>
      <c r="F33" s="67"/>
      <c r="G33" s="46"/>
    </row>
    <row r="34" spans="1:10">
      <c r="A34" t="s">
        <v>186</v>
      </c>
      <c r="C34" s="165">
        <v>1.1399999999999999</v>
      </c>
      <c r="D34" s="46">
        <v>455657</v>
      </c>
      <c r="E34" s="20"/>
      <c r="F34" s="67"/>
      <c r="G34" s="46">
        <f>+F34*(E17+E19)</f>
        <v>0</v>
      </c>
    </row>
    <row r="35" spans="1:10">
      <c r="D35" s="46"/>
      <c r="E35" s="20"/>
      <c r="F35" s="67"/>
      <c r="G35" s="46"/>
    </row>
    <row r="36" spans="1:10">
      <c r="A36" s="47" t="s">
        <v>265</v>
      </c>
      <c r="C36" s="163">
        <v>5.4338999999999998E-2</v>
      </c>
      <c r="D36" s="46">
        <v>240309</v>
      </c>
      <c r="E36" s="46"/>
      <c r="F36" s="80"/>
      <c r="G36" s="46">
        <v>0</v>
      </c>
    </row>
    <row r="37" spans="1:10">
      <c r="A37" s="12"/>
      <c r="B37" s="12"/>
      <c r="C37" s="12"/>
      <c r="D37" s="207"/>
      <c r="E37" s="205"/>
      <c r="F37" s="206"/>
      <c r="G37" s="207"/>
    </row>
    <row r="38" spans="1:10">
      <c r="A38" s="47" t="s">
        <v>261</v>
      </c>
      <c r="D38" s="7">
        <f>SUM(D12:D37)</f>
        <v>16981225.168015048</v>
      </c>
      <c r="G38" s="7">
        <f>SUM(G12:G37)</f>
        <v>17091643.42101505</v>
      </c>
    </row>
    <row r="40" spans="1:10" s="15" customFormat="1">
      <c r="A40" s="15" t="s">
        <v>180</v>
      </c>
      <c r="C40" s="165">
        <v>0.15</v>
      </c>
      <c r="D40" s="7">
        <f>C40*B24</f>
        <v>5.3999999999999995</v>
      </c>
      <c r="E40" s="20">
        <f>E24</f>
        <v>36</v>
      </c>
      <c r="F40" s="67">
        <f>SGS!F34</f>
        <v>1</v>
      </c>
      <c r="G40" s="7">
        <f>+E40*F40</f>
        <v>36</v>
      </c>
      <c r="H40" s="79"/>
      <c r="I40" s="79"/>
      <c r="J40" s="79"/>
    </row>
    <row r="42" spans="1:10">
      <c r="A42" t="s">
        <v>286</v>
      </c>
      <c r="E42" s="74">
        <f>G38+G40-G28-G46</f>
        <v>8044779.2649999987</v>
      </c>
      <c r="F42" s="195">
        <f>SGS!F36</f>
        <v>1.1413000000000001E-2</v>
      </c>
      <c r="G42" s="7">
        <f>+E42*F42</f>
        <v>91815.065751444999</v>
      </c>
    </row>
    <row r="43" spans="1:10">
      <c r="A43" s="12"/>
      <c r="B43" s="12"/>
      <c r="C43" s="12"/>
      <c r="D43" s="12"/>
      <c r="E43" s="209"/>
      <c r="F43" s="209"/>
      <c r="G43" s="209"/>
    </row>
    <row r="44" spans="1:10">
      <c r="A44" t="s">
        <v>262</v>
      </c>
      <c r="D44" s="74">
        <f>SUM(D38:D43)</f>
        <v>16981230.568015046</v>
      </c>
      <c r="G44" s="74">
        <f>SUM(G38:G43)</f>
        <v>17183494.486766495</v>
      </c>
    </row>
    <row r="46" spans="1:10">
      <c r="A46" s="47" t="s">
        <v>189</v>
      </c>
      <c r="C46" s="15"/>
      <c r="F46" s="62">
        <f>SGS!$F$40</f>
        <v>2.725E-2</v>
      </c>
      <c r="G46" s="7">
        <f>+E14*F46</f>
        <v>8545608.1750000007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39"/>
  <sheetViews>
    <sheetView topLeftCell="A4" workbookViewId="0">
      <selection activeCell="J34" sqref="J34"/>
    </sheetView>
  </sheetViews>
  <sheetFormatPr defaultRowHeight="12.5"/>
  <cols>
    <col min="1" max="1" width="38.1796875" bestFit="1" customWidth="1"/>
    <col min="2" max="2" width="13.7265625" customWidth="1"/>
    <col min="3" max="3" width="13.26953125" customWidth="1"/>
    <col min="4" max="4" width="14.453125" customWidth="1"/>
    <col min="5" max="5" width="16.26953125" style="16" customWidth="1"/>
    <col min="6" max="6" width="13" style="16" customWidth="1"/>
    <col min="7" max="7" width="14.26953125" style="16" customWidth="1"/>
    <col min="8" max="10" width="8.81640625" style="16" customWidth="1"/>
  </cols>
  <sheetData>
    <row r="1" spans="1:14">
      <c r="A1" t="str">
        <f>+RS!A1</f>
        <v>KENTUCKY POWER BILLING ANALYSIS</v>
      </c>
    </row>
    <row r="2" spans="1:14">
      <c r="A2" t="str">
        <f>+RS!A2</f>
        <v>PROFORMA</v>
      </c>
    </row>
    <row r="3" spans="1:14">
      <c r="A3" t="str">
        <f>+RS!A3</f>
        <v>TEST YEAR ENDED FEBRUARY 28, 2017</v>
      </c>
    </row>
    <row r="5" spans="1:14">
      <c r="A5" t="s">
        <v>77</v>
      </c>
    </row>
    <row r="8" spans="1:14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14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14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14">
      <c r="A12" t="s">
        <v>52</v>
      </c>
      <c r="B12" s="61">
        <v>1909870</v>
      </c>
      <c r="C12" s="164">
        <v>8.5150000000000003E-2</v>
      </c>
      <c r="D12" s="7">
        <f>+B12*C12</f>
        <v>162625.43050000002</v>
      </c>
      <c r="E12" s="20">
        <f>+B12</f>
        <v>1909870</v>
      </c>
      <c r="F12" s="66">
        <f>'Rate Input'!C72</f>
        <v>9.2910000000000006E-2</v>
      </c>
      <c r="G12" s="11">
        <f>+E12*F12</f>
        <v>177446.02170000001</v>
      </c>
    </row>
    <row r="13" spans="1:14">
      <c r="A13" t="s">
        <v>78</v>
      </c>
      <c r="B13" s="61">
        <v>82225</v>
      </c>
      <c r="C13" s="55"/>
      <c r="D13" s="7"/>
      <c r="E13" s="77">
        <f>+B13</f>
        <v>82225</v>
      </c>
      <c r="F13" s="78"/>
      <c r="G13" s="11"/>
      <c r="H13" s="79"/>
      <c r="I13" s="79"/>
      <c r="J13" s="79"/>
      <c r="K13" s="15"/>
      <c r="L13" s="15"/>
      <c r="M13" s="15"/>
      <c r="N13" s="15"/>
    </row>
    <row r="14" spans="1:14">
      <c r="C14" s="47"/>
      <c r="D14" s="7"/>
      <c r="E14" s="20"/>
      <c r="F14" s="58"/>
      <c r="G14" s="11"/>
    </row>
    <row r="15" spans="1:14">
      <c r="A15" t="s">
        <v>11</v>
      </c>
      <c r="B15" s="4">
        <f>SUM(B12:B13)</f>
        <v>1992095</v>
      </c>
      <c r="C15" s="47"/>
      <c r="D15" s="7"/>
      <c r="E15" s="20">
        <f>+B15</f>
        <v>1992095</v>
      </c>
      <c r="F15" s="58"/>
      <c r="G15" s="11"/>
    </row>
    <row r="16" spans="1:14">
      <c r="C16" s="47"/>
      <c r="D16" s="7"/>
      <c r="E16" s="20"/>
      <c r="F16" s="58"/>
      <c r="G16" s="11"/>
    </row>
    <row r="17" spans="1:7">
      <c r="A17" t="s">
        <v>79</v>
      </c>
      <c r="B17" s="61">
        <v>1791.3</v>
      </c>
      <c r="C17" s="165">
        <v>8.1999999999999993</v>
      </c>
      <c r="D17" s="7">
        <f>+B17*C17</f>
        <v>14688.659999999998</v>
      </c>
      <c r="E17" s="20">
        <f>+B17</f>
        <v>1791.3</v>
      </c>
      <c r="F17" s="67">
        <f>'Rate Input'!D72</f>
        <v>8.89</v>
      </c>
      <c r="G17" s="11">
        <f>+E17*F17</f>
        <v>15924.657000000001</v>
      </c>
    </row>
    <row r="18" spans="1:7">
      <c r="B18" s="58"/>
      <c r="C18" s="65"/>
      <c r="D18" s="7"/>
      <c r="E18" s="20"/>
      <c r="F18" s="67"/>
      <c r="G18" s="11"/>
    </row>
    <row r="19" spans="1:7">
      <c r="A19" t="s">
        <v>12</v>
      </c>
      <c r="B19" s="61">
        <v>120</v>
      </c>
      <c r="C19" s="165">
        <v>22.9</v>
      </c>
      <c r="D19" s="7">
        <f>+B19*C19</f>
        <v>2748</v>
      </c>
      <c r="E19" s="20">
        <f>+B19</f>
        <v>120</v>
      </c>
      <c r="F19" s="67">
        <f>'Rate Input'!B72</f>
        <v>22.9</v>
      </c>
      <c r="G19" s="11">
        <f>+E19*F19</f>
        <v>2748</v>
      </c>
    </row>
    <row r="20" spans="1:7">
      <c r="B20" s="58"/>
      <c r="C20" s="47"/>
      <c r="D20" s="7"/>
      <c r="E20" s="20"/>
      <c r="F20" s="58"/>
      <c r="G20" s="11"/>
    </row>
    <row r="21" spans="1:7">
      <c r="A21" t="s">
        <v>13</v>
      </c>
      <c r="B21" s="61">
        <v>120</v>
      </c>
      <c r="C21" s="47"/>
      <c r="D21" s="7"/>
      <c r="E21" s="20">
        <f>+B21</f>
        <v>120</v>
      </c>
      <c r="F21" s="58"/>
      <c r="G21" s="11"/>
    </row>
    <row r="22" spans="1:7">
      <c r="C22" s="47"/>
      <c r="D22" s="7"/>
      <c r="E22" s="20"/>
      <c r="F22" s="58"/>
      <c r="G22" s="7"/>
    </row>
    <row r="23" spans="1:7">
      <c r="A23" t="str">
        <f>+RS!A$25</f>
        <v xml:space="preserve">Fuel </v>
      </c>
      <c r="C23" s="177">
        <f>+RS!C25</f>
        <v>1.5985060633393854E-3</v>
      </c>
      <c r="D23" s="7">
        <f>+B15*C23</f>
        <v>3184.3759362480728</v>
      </c>
      <c r="E23" s="20"/>
      <c r="F23" s="62">
        <f>+RS!F25</f>
        <v>1.5985060633393854E-3</v>
      </c>
      <c r="G23" s="7">
        <f>+E15*F23</f>
        <v>3184.3759362480728</v>
      </c>
    </row>
    <row r="24" spans="1:7">
      <c r="D24" s="7"/>
      <c r="G24" s="7"/>
    </row>
    <row r="25" spans="1:7">
      <c r="A25" s="47" t="s">
        <v>263</v>
      </c>
      <c r="D25" s="46">
        <v>178</v>
      </c>
      <c r="G25" s="46">
        <v>0</v>
      </c>
    </row>
    <row r="26" spans="1:7">
      <c r="D26" s="46"/>
      <c r="G26" s="46"/>
    </row>
    <row r="27" spans="1:7">
      <c r="A27" t="str">
        <f>RS!A30</f>
        <v>Big Sandy 1 Operations Rider</v>
      </c>
      <c r="C27" s="171">
        <v>3.8999999999999998E-3</v>
      </c>
      <c r="D27" s="46">
        <v>6575</v>
      </c>
      <c r="E27" s="20"/>
      <c r="F27" s="66"/>
      <c r="G27" s="46">
        <v>0</v>
      </c>
    </row>
    <row r="28" spans="1:7">
      <c r="D28" s="46"/>
      <c r="E28" s="20"/>
      <c r="F28" s="67"/>
      <c r="G28" s="46"/>
    </row>
    <row r="29" spans="1:7">
      <c r="A29" t="s">
        <v>18</v>
      </c>
      <c r="C29" s="163">
        <v>5.4338999999999998E-2</v>
      </c>
      <c r="D29" s="46">
        <v>4343</v>
      </c>
      <c r="E29" s="7"/>
      <c r="F29" s="80"/>
      <c r="G29" s="46">
        <v>0</v>
      </c>
    </row>
    <row r="30" spans="1:7">
      <c r="A30" s="12"/>
      <c r="B30" s="12"/>
      <c r="C30" s="12"/>
      <c r="D30" s="207"/>
      <c r="E30" s="205"/>
      <c r="F30" s="206"/>
      <c r="G30" s="207"/>
    </row>
    <row r="31" spans="1:7">
      <c r="A31" s="47" t="s">
        <v>261</v>
      </c>
      <c r="D31" s="7">
        <f>SUM(D12:D30)</f>
        <v>194342.4664362481</v>
      </c>
      <c r="G31" s="7">
        <f>SUM(G12:G30)</f>
        <v>199303.0546362481</v>
      </c>
    </row>
    <row r="33" spans="1:10" s="15" customFormat="1">
      <c r="A33" s="15" t="s">
        <v>180</v>
      </c>
      <c r="B33" s="15">
        <v>120</v>
      </c>
      <c r="C33" s="165">
        <v>0.15</v>
      </c>
      <c r="D33" s="7">
        <f>C33*B19</f>
        <v>18</v>
      </c>
      <c r="E33" s="20">
        <f>E19</f>
        <v>120</v>
      </c>
      <c r="F33" s="67">
        <f>SGS!F34</f>
        <v>1</v>
      </c>
      <c r="G33" s="7">
        <f>+E33*F33</f>
        <v>120</v>
      </c>
      <c r="H33" s="79"/>
      <c r="I33" s="79"/>
      <c r="J33" s="79"/>
    </row>
    <row r="35" spans="1:10">
      <c r="A35" t="s">
        <v>286</v>
      </c>
      <c r="E35" s="74">
        <f>G31+G33-G23-G39</f>
        <v>141954.08995000002</v>
      </c>
      <c r="F35" s="195">
        <f>SGS!F36</f>
        <v>1.1413000000000001E-2</v>
      </c>
      <c r="G35" s="7">
        <f>+E35*F35</f>
        <v>1620.1220285993504</v>
      </c>
    </row>
    <row r="36" spans="1:10">
      <c r="A36" s="12"/>
      <c r="B36" s="12"/>
      <c r="C36" s="12"/>
      <c r="D36" s="12"/>
      <c r="E36" s="209"/>
      <c r="F36" s="209"/>
      <c r="G36" s="209"/>
    </row>
    <row r="37" spans="1:10">
      <c r="A37" t="s">
        <v>262</v>
      </c>
      <c r="D37" s="74">
        <f>SUM(D31:D36)</f>
        <v>194360.4664362481</v>
      </c>
      <c r="G37" s="74">
        <f>SUM(G31:G36)</f>
        <v>201043.17666484744</v>
      </c>
    </row>
    <row r="39" spans="1:10">
      <c r="A39" s="47" t="s">
        <v>189</v>
      </c>
      <c r="F39" s="62">
        <f>SGS!$F$40</f>
        <v>2.725E-2</v>
      </c>
      <c r="G39" s="7">
        <f>+E15*F39</f>
        <v>54284.588750000003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4"/>
  <sheetViews>
    <sheetView topLeftCell="A47" workbookViewId="0">
      <selection activeCell="J73" sqref="J73"/>
    </sheetView>
  </sheetViews>
  <sheetFormatPr defaultRowHeight="12.5"/>
  <cols>
    <col min="1" max="1" width="31.54296875" customWidth="1"/>
    <col min="2" max="2" width="10.7265625" customWidth="1"/>
    <col min="3" max="3" width="14" customWidth="1"/>
    <col min="4" max="4" width="11.81640625" customWidth="1"/>
    <col min="5" max="5" width="16.26953125" style="16" customWidth="1"/>
    <col min="6" max="6" width="15.54296875" style="16" customWidth="1"/>
    <col min="7" max="7" width="14.453125" style="16" bestFit="1" customWidth="1"/>
    <col min="8" max="8" width="8.81640625" style="16" customWidth="1"/>
    <col min="9" max="9" width="12.81640625" style="16" bestFit="1" customWidth="1"/>
    <col min="10" max="10" width="8.81640625" style="16" customWidth="1"/>
  </cols>
  <sheetData>
    <row r="1" spans="1:9">
      <c r="A1" t="str">
        <f>+RS!A1</f>
        <v>KENTUCKY POWER BILLING ANALYSIS</v>
      </c>
    </row>
    <row r="2" spans="1:9">
      <c r="A2" t="str">
        <f>+RS!A2</f>
        <v>PROFORMA</v>
      </c>
    </row>
    <row r="3" spans="1:9">
      <c r="A3" t="str">
        <f>+RS!A3</f>
        <v>TEST YEAR ENDED FEBRUARY 28, 2017</v>
      </c>
    </row>
    <row r="5" spans="1:9">
      <c r="A5" t="s">
        <v>118</v>
      </c>
    </row>
    <row r="8" spans="1:9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9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9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9">
      <c r="A12" s="3" t="s">
        <v>24</v>
      </c>
    </row>
    <row r="13" spans="1:9">
      <c r="A13" t="s">
        <v>25</v>
      </c>
    </row>
    <row r="14" spans="1:9">
      <c r="A14" t="s">
        <v>26</v>
      </c>
      <c r="B14" s="61">
        <v>271740</v>
      </c>
      <c r="C14" s="165">
        <v>9.3000000000000007</v>
      </c>
      <c r="D14" s="7">
        <f>+B14*C14</f>
        <v>2527182</v>
      </c>
      <c r="E14" s="53">
        <f>+B14</f>
        <v>271740</v>
      </c>
      <c r="F14" s="67">
        <f>'Rate Input'!F77</f>
        <v>9.75</v>
      </c>
      <c r="G14" s="7">
        <f>+E14*F14</f>
        <v>2649465</v>
      </c>
      <c r="I14" s="7"/>
    </row>
    <row r="15" spans="1:9">
      <c r="A15" t="s">
        <v>27</v>
      </c>
      <c r="B15" s="61">
        <v>266040</v>
      </c>
      <c r="C15" s="165">
        <v>10.58</v>
      </c>
      <c r="D15" s="7">
        <f>+B15*C15</f>
        <v>2814703.2</v>
      </c>
      <c r="E15" s="53">
        <f>+B15</f>
        <v>266040</v>
      </c>
      <c r="F15" s="67">
        <f>'Rate Input'!F78</f>
        <v>11.05</v>
      </c>
      <c r="G15" s="7">
        <f>+E15*F15</f>
        <v>2939742</v>
      </c>
      <c r="I15" s="7"/>
    </row>
    <row r="16" spans="1:9">
      <c r="A16" t="s">
        <v>28</v>
      </c>
      <c r="B16" s="61">
        <v>22356</v>
      </c>
      <c r="C16" s="165">
        <v>12.3</v>
      </c>
      <c r="D16" s="7">
        <f>+B16*C16</f>
        <v>274978.8</v>
      </c>
      <c r="E16" s="53">
        <f>+B16</f>
        <v>22356</v>
      </c>
      <c r="F16" s="67">
        <f>'Rate Input'!F79</f>
        <v>13.4</v>
      </c>
      <c r="G16" s="7">
        <f>+E16*F16</f>
        <v>299570.40000000002</v>
      </c>
      <c r="I16" s="7"/>
    </row>
    <row r="17" spans="1:9">
      <c r="A17" t="s">
        <v>122</v>
      </c>
      <c r="B17" s="69">
        <v>0</v>
      </c>
      <c r="C17" s="165">
        <v>17.63</v>
      </c>
      <c r="D17" s="7">
        <f>+B17*C17</f>
        <v>0</v>
      </c>
      <c r="E17" s="70">
        <f>+B17</f>
        <v>0</v>
      </c>
      <c r="F17" s="67">
        <f>'Rate Input'!F80</f>
        <v>18.2</v>
      </c>
      <c r="G17" s="7">
        <f>+E17*F17</f>
        <v>0</v>
      </c>
      <c r="I17" s="7"/>
    </row>
    <row r="18" spans="1:9">
      <c r="A18" t="s">
        <v>29</v>
      </c>
      <c r="B18" s="61">
        <v>2496</v>
      </c>
      <c r="C18" s="165">
        <v>19.010000000000002</v>
      </c>
      <c r="D18" s="7">
        <f>+B18*C18</f>
        <v>47448.960000000006</v>
      </c>
      <c r="E18" s="53">
        <f>+B18</f>
        <v>2496</v>
      </c>
      <c r="F18" s="67">
        <f>'Rate Input'!F81</f>
        <v>20.85</v>
      </c>
      <c r="G18" s="7">
        <f>+E18*F18</f>
        <v>52041.600000000006</v>
      </c>
      <c r="I18" s="7"/>
    </row>
    <row r="19" spans="1:9">
      <c r="B19" s="58"/>
      <c r="C19" s="165"/>
      <c r="D19" s="7"/>
      <c r="E19" s="47"/>
      <c r="F19" s="67"/>
      <c r="G19" s="7"/>
      <c r="I19" s="7"/>
    </row>
    <row r="20" spans="1:9">
      <c r="A20" t="s">
        <v>30</v>
      </c>
      <c r="B20" s="58"/>
      <c r="C20" s="165"/>
      <c r="D20" s="7"/>
      <c r="E20" s="47"/>
      <c r="F20" s="67"/>
      <c r="G20" s="7"/>
      <c r="I20" s="7"/>
    </row>
    <row r="21" spans="1:9">
      <c r="A21" t="s">
        <v>31</v>
      </c>
      <c r="B21" s="61">
        <v>10056</v>
      </c>
      <c r="C21" s="165">
        <v>10.47</v>
      </c>
      <c r="D21" s="7">
        <f>+B21*C21</f>
        <v>105286.32</v>
      </c>
      <c r="E21" s="53">
        <f>+B21</f>
        <v>10056</v>
      </c>
      <c r="F21" s="67">
        <f>'Rate Input'!F84</f>
        <v>11.15</v>
      </c>
      <c r="G21" s="7">
        <f>+E21*F21</f>
        <v>112124.40000000001</v>
      </c>
      <c r="I21" s="7"/>
    </row>
    <row r="22" spans="1:9">
      <c r="A22" t="s">
        <v>32</v>
      </c>
      <c r="B22" s="61">
        <v>1032</v>
      </c>
      <c r="C22" s="165">
        <v>18.07</v>
      </c>
      <c r="D22" s="7">
        <f>+B22*C22</f>
        <v>18648.240000000002</v>
      </c>
      <c r="E22" s="53">
        <f>+B22</f>
        <v>1032</v>
      </c>
      <c r="F22" s="67">
        <f>'Rate Input'!F85</f>
        <v>19.25</v>
      </c>
      <c r="G22" s="7">
        <f>+E22*F22</f>
        <v>19866</v>
      </c>
      <c r="I22" s="7"/>
    </row>
    <row r="23" spans="1:9">
      <c r="B23" s="58"/>
      <c r="C23" s="65"/>
      <c r="D23" s="7"/>
      <c r="E23" s="47"/>
      <c r="F23" s="67"/>
      <c r="G23" s="7"/>
      <c r="I23" s="7"/>
    </row>
    <row r="24" spans="1:9">
      <c r="A24" s="3" t="s">
        <v>33</v>
      </c>
      <c r="B24" s="58"/>
      <c r="C24" s="65"/>
      <c r="D24" s="7"/>
      <c r="E24" s="47"/>
      <c r="F24" s="67"/>
      <c r="G24" s="7"/>
      <c r="I24" s="7"/>
    </row>
    <row r="25" spans="1:9">
      <c r="A25" t="s">
        <v>123</v>
      </c>
      <c r="B25" s="58"/>
      <c r="C25" s="65"/>
      <c r="D25" s="7"/>
      <c r="E25" s="47"/>
      <c r="F25" s="67"/>
      <c r="G25" s="7"/>
      <c r="I25" s="7"/>
    </row>
    <row r="26" spans="1:9">
      <c r="A26" t="s">
        <v>34</v>
      </c>
      <c r="B26" s="61">
        <v>9384</v>
      </c>
      <c r="C26" s="165">
        <v>14.1</v>
      </c>
      <c r="D26" s="7">
        <f>+B26*C26</f>
        <v>132314.4</v>
      </c>
      <c r="E26" s="53">
        <f>+B26</f>
        <v>9384</v>
      </c>
      <c r="F26" s="67">
        <f>'Rate Input'!F89</f>
        <v>15.45</v>
      </c>
      <c r="G26" s="7">
        <f>+E26*F26</f>
        <v>144982.79999999999</v>
      </c>
      <c r="I26" s="7"/>
    </row>
    <row r="27" spans="1:9">
      <c r="A27" t="s">
        <v>35</v>
      </c>
      <c r="B27" s="61">
        <v>864</v>
      </c>
      <c r="C27" s="165">
        <v>23.13</v>
      </c>
      <c r="D27" s="7">
        <f>+B27*C27</f>
        <v>19984.32</v>
      </c>
      <c r="E27" s="53">
        <f>+B27</f>
        <v>864</v>
      </c>
      <c r="F27" s="67">
        <f>'Rate Input'!F90</f>
        <v>25.4</v>
      </c>
      <c r="G27" s="7">
        <f>+E27*F27</f>
        <v>21945.599999999999</v>
      </c>
      <c r="I27" s="7"/>
    </row>
    <row r="28" spans="1:9">
      <c r="B28" s="58"/>
      <c r="C28" s="65"/>
      <c r="D28" s="7"/>
      <c r="E28" s="47"/>
      <c r="F28" s="67"/>
      <c r="G28" s="7"/>
      <c r="I28" s="7"/>
    </row>
    <row r="29" spans="1:9">
      <c r="A29" t="s">
        <v>125</v>
      </c>
      <c r="B29" s="58"/>
      <c r="C29" s="65"/>
      <c r="D29" s="7"/>
      <c r="E29" s="47"/>
      <c r="F29" s="67"/>
      <c r="G29" s="7"/>
      <c r="I29" s="7"/>
    </row>
    <row r="30" spans="1:9">
      <c r="A30" t="s">
        <v>36</v>
      </c>
      <c r="B30" s="61">
        <v>108</v>
      </c>
      <c r="C30" s="165">
        <v>12.02</v>
      </c>
      <c r="D30" s="7">
        <f>+B30*C30</f>
        <v>1298.1599999999999</v>
      </c>
      <c r="E30" s="53">
        <f>+B30</f>
        <v>108</v>
      </c>
      <c r="F30" s="67">
        <f>'Rate Input'!F93</f>
        <v>12.8</v>
      </c>
      <c r="G30" s="7">
        <f>+E30*F30</f>
        <v>1382.4</v>
      </c>
      <c r="I30" s="7"/>
    </row>
    <row r="31" spans="1:9">
      <c r="B31" s="61"/>
      <c r="C31" s="65"/>
      <c r="D31" s="7"/>
      <c r="E31" s="53"/>
      <c r="F31" s="67"/>
      <c r="G31" s="7"/>
      <c r="I31" s="7"/>
    </row>
    <row r="32" spans="1:9">
      <c r="A32" t="s">
        <v>124</v>
      </c>
      <c r="B32" s="58"/>
      <c r="C32" s="65"/>
      <c r="D32" s="7"/>
      <c r="E32" s="47"/>
      <c r="F32" s="67"/>
      <c r="G32" s="7"/>
      <c r="I32" s="7"/>
    </row>
    <row r="33" spans="1:9">
      <c r="A33" t="s">
        <v>126</v>
      </c>
      <c r="B33" s="61">
        <v>0</v>
      </c>
      <c r="C33" s="165">
        <v>32.85</v>
      </c>
      <c r="D33" s="7">
        <f>+B33*C33</f>
        <v>0</v>
      </c>
      <c r="E33" s="53">
        <f>+B33</f>
        <v>0</v>
      </c>
      <c r="F33" s="67">
        <f>'Rate Input'!F96</f>
        <v>31.25</v>
      </c>
      <c r="G33" s="7">
        <f>+E33*F33</f>
        <v>0</v>
      </c>
      <c r="I33" s="7"/>
    </row>
    <row r="34" spans="1:9">
      <c r="A34" t="s">
        <v>117</v>
      </c>
      <c r="B34" s="61">
        <v>12</v>
      </c>
      <c r="C34" s="165">
        <v>25.83</v>
      </c>
      <c r="D34" s="7">
        <f>+B34*C34</f>
        <v>309.95999999999998</v>
      </c>
      <c r="E34" s="53">
        <f>+B34</f>
        <v>12</v>
      </c>
      <c r="F34" s="67">
        <f>'Rate Input'!F97</f>
        <v>28.35</v>
      </c>
      <c r="G34" s="7">
        <f>+E34*F34</f>
        <v>340.20000000000005</v>
      </c>
      <c r="I34" s="7"/>
    </row>
    <row r="35" spans="1:9">
      <c r="A35" t="s">
        <v>127</v>
      </c>
      <c r="B35" s="61">
        <v>0</v>
      </c>
      <c r="C35" s="165">
        <v>42.96</v>
      </c>
      <c r="D35" s="7">
        <f>+B35*C35</f>
        <v>0</v>
      </c>
      <c r="E35" s="53">
        <f>+B35</f>
        <v>0</v>
      </c>
      <c r="F35" s="67">
        <f>'Rate Input'!F98</f>
        <v>41.55</v>
      </c>
      <c r="G35" s="7">
        <f>+E35*F35</f>
        <v>0</v>
      </c>
      <c r="I35" s="7"/>
    </row>
    <row r="36" spans="1:9">
      <c r="B36" s="58"/>
      <c r="C36" s="65"/>
      <c r="D36" s="7"/>
      <c r="E36" s="47"/>
      <c r="F36" s="67"/>
      <c r="G36" s="7"/>
      <c r="I36" s="7"/>
    </row>
    <row r="37" spans="1:9">
      <c r="A37" s="3" t="s">
        <v>37</v>
      </c>
      <c r="B37" s="58"/>
      <c r="C37" s="65"/>
      <c r="D37" s="7"/>
      <c r="E37" s="47"/>
      <c r="F37" s="67"/>
      <c r="G37" s="7"/>
      <c r="I37" s="7"/>
    </row>
    <row r="38" spans="1:9">
      <c r="A38" t="s">
        <v>119</v>
      </c>
      <c r="B38" s="58"/>
      <c r="C38" s="65"/>
      <c r="D38" s="7"/>
      <c r="E38" s="47"/>
      <c r="F38" s="67"/>
      <c r="G38" s="7"/>
      <c r="I38" s="7"/>
    </row>
    <row r="39" spans="1:9">
      <c r="A39" t="s">
        <v>38</v>
      </c>
      <c r="B39" s="61">
        <v>22080</v>
      </c>
      <c r="C39" s="165">
        <v>14.4</v>
      </c>
      <c r="D39" s="7">
        <f>+B39*C39</f>
        <v>317952</v>
      </c>
      <c r="E39" s="53">
        <f>+B39</f>
        <v>22080</v>
      </c>
      <c r="F39" s="67">
        <f>'Rate Input'!F102</f>
        <v>15.7</v>
      </c>
      <c r="G39" s="7">
        <f>+E39*F39</f>
        <v>346656</v>
      </c>
      <c r="I39" s="7"/>
    </row>
    <row r="40" spans="1:9">
      <c r="A40" t="s">
        <v>39</v>
      </c>
      <c r="B40" s="61">
        <v>52008</v>
      </c>
      <c r="C40" s="165">
        <v>20.16</v>
      </c>
      <c r="D40" s="7">
        <f>+B40*C40</f>
        <v>1048481.28</v>
      </c>
      <c r="E40" s="53">
        <f>+B40</f>
        <v>52008</v>
      </c>
      <c r="F40" s="67">
        <f>'Rate Input'!F103</f>
        <v>22</v>
      </c>
      <c r="G40" s="7">
        <f>+E40*F40</f>
        <v>1144176</v>
      </c>
      <c r="I40" s="7"/>
    </row>
    <row r="41" spans="1:9">
      <c r="B41" s="58"/>
      <c r="C41" s="65"/>
      <c r="D41" s="7"/>
      <c r="E41" s="47"/>
      <c r="F41" s="67"/>
      <c r="G41" s="7"/>
      <c r="I41" s="7"/>
    </row>
    <row r="42" spans="1:9">
      <c r="A42" t="s">
        <v>120</v>
      </c>
      <c r="B42" s="58"/>
      <c r="C42" s="65"/>
      <c r="D42" s="7"/>
      <c r="E42" s="47"/>
      <c r="F42" s="67"/>
      <c r="G42" s="7"/>
      <c r="I42" s="7"/>
    </row>
    <row r="43" spans="1:9">
      <c r="A43" t="s">
        <v>40</v>
      </c>
      <c r="B43" s="61">
        <v>1668</v>
      </c>
      <c r="C43" s="165">
        <v>17.88</v>
      </c>
      <c r="D43" s="7">
        <f>+B43*C43</f>
        <v>29823.84</v>
      </c>
      <c r="E43" s="53">
        <f>+B43</f>
        <v>1668</v>
      </c>
      <c r="F43" s="67">
        <f>'Rate Input'!F106</f>
        <v>18.149999999999999</v>
      </c>
      <c r="G43" s="7">
        <f>+E43*F43</f>
        <v>30274.199999999997</v>
      </c>
      <c r="I43" s="7"/>
    </row>
    <row r="44" spans="1:9">
      <c r="A44" t="s">
        <v>41</v>
      </c>
      <c r="B44" s="61">
        <v>11520</v>
      </c>
      <c r="C44" s="165">
        <v>22.57</v>
      </c>
      <c r="D44" s="7">
        <f>+B44*C44</f>
        <v>260006.39999999999</v>
      </c>
      <c r="E44" s="53">
        <f>+B44</f>
        <v>11520</v>
      </c>
      <c r="F44" s="67">
        <f>'Rate Input'!F107</f>
        <v>22.8</v>
      </c>
      <c r="G44" s="7">
        <f>+E44*F44</f>
        <v>262656</v>
      </c>
      <c r="I44" s="7"/>
    </row>
    <row r="45" spans="1:9">
      <c r="A45" t="s">
        <v>42</v>
      </c>
      <c r="B45" s="61">
        <v>972</v>
      </c>
      <c r="C45" s="165">
        <v>41.06</v>
      </c>
      <c r="D45" s="7">
        <f>+B45*C45</f>
        <v>39910.32</v>
      </c>
      <c r="E45" s="53">
        <f>+B45</f>
        <v>972</v>
      </c>
      <c r="F45" s="67">
        <f>'Rate Input'!F108</f>
        <v>41.7</v>
      </c>
      <c r="G45" s="7">
        <f>+E45*F45</f>
        <v>40532.400000000001</v>
      </c>
      <c r="I45" s="7"/>
    </row>
    <row r="46" spans="1:9">
      <c r="B46" s="61"/>
      <c r="C46" s="65"/>
      <c r="D46" s="7"/>
      <c r="E46" s="53"/>
      <c r="F46" s="67"/>
      <c r="G46" s="7"/>
      <c r="I46" s="7"/>
    </row>
    <row r="47" spans="1:9">
      <c r="A47" t="s">
        <v>121</v>
      </c>
      <c r="B47" s="58"/>
      <c r="C47" s="65"/>
      <c r="D47" s="7"/>
      <c r="E47" s="47"/>
      <c r="F47" s="67"/>
      <c r="G47" s="7"/>
      <c r="I47" s="7"/>
    </row>
    <row r="48" spans="1:9">
      <c r="A48" t="s">
        <v>128</v>
      </c>
      <c r="B48" s="61">
        <v>0</v>
      </c>
      <c r="C48" s="165">
        <v>24.63</v>
      </c>
      <c r="D48" s="7">
        <f>+B48*C48</f>
        <v>0</v>
      </c>
      <c r="E48" s="53">
        <f>+B48</f>
        <v>0</v>
      </c>
      <c r="F48" s="67">
        <f>'Rate Input'!F111</f>
        <v>23.8</v>
      </c>
      <c r="G48" s="7">
        <f>+E48*F48</f>
        <v>0</v>
      </c>
      <c r="I48" s="7"/>
    </row>
    <row r="49" spans="1:9">
      <c r="A49" t="s">
        <v>129</v>
      </c>
      <c r="B49" s="61">
        <v>0</v>
      </c>
      <c r="C49" s="165">
        <v>29.42</v>
      </c>
      <c r="D49" s="7">
        <f>+B49*C49</f>
        <v>0</v>
      </c>
      <c r="E49" s="53">
        <f>+B49</f>
        <v>0</v>
      </c>
      <c r="F49" s="67">
        <f>'Rate Input'!F112</f>
        <v>28.5</v>
      </c>
      <c r="G49" s="7">
        <f>+E49*F49</f>
        <v>0</v>
      </c>
      <c r="I49" s="7"/>
    </row>
    <row r="50" spans="1:9">
      <c r="B50" s="58"/>
      <c r="C50" s="65"/>
      <c r="D50" s="7"/>
      <c r="E50" s="47"/>
      <c r="F50" s="67"/>
      <c r="G50" s="7"/>
      <c r="I50" s="7"/>
    </row>
    <row r="51" spans="1:9">
      <c r="A51" t="s">
        <v>11</v>
      </c>
      <c r="B51" s="61">
        <v>43044440</v>
      </c>
      <c r="C51" s="65"/>
      <c r="D51" s="7"/>
      <c r="E51" s="53">
        <f>+B51</f>
        <v>43044440</v>
      </c>
      <c r="F51" s="67"/>
      <c r="G51" s="7"/>
      <c r="I51" s="7"/>
    </row>
    <row r="52" spans="1:9">
      <c r="B52" s="58"/>
      <c r="C52" s="65"/>
      <c r="D52" s="7"/>
      <c r="E52" s="47"/>
      <c r="F52" s="67"/>
      <c r="G52" s="7"/>
      <c r="I52" s="7"/>
    </row>
    <row r="53" spans="1:9">
      <c r="A53" t="s">
        <v>43</v>
      </c>
      <c r="B53" s="58"/>
      <c r="C53" s="65"/>
      <c r="D53" s="7"/>
      <c r="E53" s="47"/>
      <c r="F53" s="67"/>
      <c r="G53" s="7"/>
      <c r="I53" s="7"/>
    </row>
    <row r="54" spans="1:9">
      <c r="A54" t="s">
        <v>44</v>
      </c>
      <c r="B54" s="61">
        <v>52992</v>
      </c>
      <c r="C54" s="165">
        <v>3.1</v>
      </c>
      <c r="D54" s="7">
        <f>+B54*C54</f>
        <v>164275.20000000001</v>
      </c>
      <c r="E54" s="53">
        <f>+B54</f>
        <v>52992</v>
      </c>
      <c r="F54" s="67">
        <f>'Rate Input'!F117</f>
        <v>3.4</v>
      </c>
      <c r="G54" s="7">
        <f>+E54*F54</f>
        <v>180172.79999999999</v>
      </c>
      <c r="I54" s="7"/>
    </row>
    <row r="55" spans="1:9">
      <c r="A55" t="s">
        <v>45</v>
      </c>
      <c r="B55" s="61">
        <v>56652</v>
      </c>
      <c r="C55" s="165">
        <v>1.8</v>
      </c>
      <c r="D55" s="7">
        <f>+B55*C55</f>
        <v>101973.6</v>
      </c>
      <c r="E55" s="53">
        <f>+B55</f>
        <v>56652</v>
      </c>
      <c r="F55" s="67">
        <f>'Rate Input'!F118</f>
        <v>2</v>
      </c>
      <c r="G55" s="7">
        <f>+E55*F55</f>
        <v>113304</v>
      </c>
      <c r="I55" s="7"/>
    </row>
    <row r="56" spans="1:9">
      <c r="A56" t="s">
        <v>46</v>
      </c>
      <c r="B56" s="61">
        <v>744</v>
      </c>
      <c r="C56" s="165">
        <v>6.75</v>
      </c>
      <c r="D56" s="7">
        <f>+B56*C56</f>
        <v>5022</v>
      </c>
      <c r="E56" s="53">
        <f>+B56</f>
        <v>744</v>
      </c>
      <c r="F56" s="67">
        <f>'Rate Input'!F119</f>
        <v>7.4</v>
      </c>
      <c r="G56" s="7">
        <f>+E56*F56</f>
        <v>5505.6</v>
      </c>
      <c r="I56" s="7"/>
    </row>
    <row r="57" spans="1:9">
      <c r="B57" s="14"/>
      <c r="C57" s="65"/>
      <c r="D57" s="7"/>
      <c r="E57" s="47"/>
      <c r="F57" s="67"/>
      <c r="G57" s="7"/>
      <c r="I57" s="7"/>
    </row>
    <row r="58" spans="1:9">
      <c r="A58" t="str">
        <f>+RS!A$25</f>
        <v xml:space="preserve">Fuel </v>
      </c>
      <c r="C58" s="177">
        <f>+RS!C25</f>
        <v>1.5985060633393854E-3</v>
      </c>
      <c r="D58" s="7">
        <f>+B51*C58</f>
        <v>68806.798333048369</v>
      </c>
      <c r="E58" s="47"/>
      <c r="F58" s="62">
        <f>+RS!F25</f>
        <v>1.5985060633393854E-3</v>
      </c>
      <c r="G58" s="7">
        <f>+E51*F58</f>
        <v>68806.798333048369</v>
      </c>
      <c r="I58" s="7"/>
    </row>
    <row r="59" spans="1:9">
      <c r="C59" s="64"/>
      <c r="D59" s="7"/>
      <c r="E59" s="47"/>
      <c r="F59" s="62"/>
      <c r="G59" s="7"/>
      <c r="I59" s="7"/>
    </row>
    <row r="60" spans="1:9">
      <c r="A60" s="15" t="str">
        <f>+RS!A$27</f>
        <v>Purchase Power Adjustment</v>
      </c>
      <c r="D60" s="46">
        <v>7138</v>
      </c>
      <c r="G60" s="46">
        <f>+E60*F60</f>
        <v>0</v>
      </c>
      <c r="I60" s="46"/>
    </row>
    <row r="61" spans="1:9">
      <c r="A61" s="15"/>
      <c r="C61" s="5"/>
      <c r="D61" s="7"/>
      <c r="E61" s="47"/>
      <c r="G61" s="7"/>
      <c r="I61" s="7"/>
    </row>
    <row r="62" spans="1:9">
      <c r="A62" s="15" t="str">
        <f>+RS!A30</f>
        <v>Big Sandy 1 Operations Rider</v>
      </c>
      <c r="C62" s="164">
        <v>1.5900000000000001E-3</v>
      </c>
      <c r="D62" s="7">
        <v>0</v>
      </c>
      <c r="E62" s="53"/>
      <c r="F62" s="56"/>
      <c r="G62" s="46">
        <v>0</v>
      </c>
      <c r="I62" s="46"/>
    </row>
    <row r="63" spans="1:9">
      <c r="A63" s="15"/>
      <c r="C63" s="5"/>
      <c r="D63" s="7"/>
      <c r="E63" s="47"/>
      <c r="G63" s="7"/>
      <c r="I63" s="7"/>
    </row>
    <row r="64" spans="1:9">
      <c r="A64" s="15" t="str">
        <f>+RS!A32</f>
        <v>Big Sandy Retirement Rider</v>
      </c>
      <c r="C64" s="163">
        <v>5.4338999999999998E-2</v>
      </c>
      <c r="D64" s="7">
        <v>66586</v>
      </c>
      <c r="E64" s="74"/>
      <c r="F64" s="80"/>
      <c r="G64" s="46">
        <v>0</v>
      </c>
      <c r="I64" s="46"/>
    </row>
    <row r="65" spans="1:9">
      <c r="A65" s="15"/>
      <c r="D65" s="46"/>
      <c r="E65" s="20"/>
      <c r="F65" s="59"/>
      <c r="G65" s="46"/>
      <c r="I65" s="46"/>
    </row>
    <row r="66" spans="1:9">
      <c r="A66" s="15" t="str">
        <f>+RS!A$34</f>
        <v>Environmental Surcharge</v>
      </c>
      <c r="D66" s="46">
        <v>179665</v>
      </c>
      <c r="E66" s="74"/>
      <c r="F66" s="80"/>
      <c r="G66" s="46">
        <v>0</v>
      </c>
      <c r="I66" s="46"/>
    </row>
    <row r="67" spans="1:9">
      <c r="A67" s="203"/>
      <c r="B67" s="12"/>
      <c r="C67" s="12"/>
      <c r="D67" s="13"/>
      <c r="E67" s="209"/>
      <c r="F67" s="209"/>
      <c r="G67" s="13"/>
      <c r="I67" s="7"/>
    </row>
    <row r="68" spans="1:9">
      <c r="A68" s="15" t="s">
        <v>261</v>
      </c>
      <c r="C68" s="7"/>
      <c r="D68" s="7">
        <f>SUM(D14:D67)</f>
        <v>8231794.7983330507</v>
      </c>
      <c r="G68" s="7">
        <f>SUM(G14:G67)</f>
        <v>8433544.1983330492</v>
      </c>
      <c r="I68" s="7"/>
    </row>
    <row r="69" spans="1:9">
      <c r="A69" s="15"/>
      <c r="G69" s="20"/>
      <c r="I69" s="20"/>
    </row>
    <row r="70" spans="1:9">
      <c r="A70" t="s">
        <v>286</v>
      </c>
      <c r="E70" s="74">
        <f>G68-G58-G74</f>
        <v>7191776.4100000001</v>
      </c>
      <c r="F70" s="195">
        <f>SGS!F36</f>
        <v>1.1413000000000001E-2</v>
      </c>
      <c r="G70" s="7">
        <f>+E70*F70</f>
        <v>82079.744167330005</v>
      </c>
    </row>
    <row r="71" spans="1:9">
      <c r="A71" s="12"/>
      <c r="B71" s="12"/>
      <c r="C71" s="12"/>
      <c r="D71" s="12"/>
      <c r="E71" s="209"/>
      <c r="F71" s="209"/>
      <c r="G71" s="209"/>
    </row>
    <row r="72" spans="1:9">
      <c r="A72" t="s">
        <v>262</v>
      </c>
      <c r="D72" s="74">
        <f>SUM(D68:D71)</f>
        <v>8231794.7983330507</v>
      </c>
      <c r="G72" s="74">
        <f>SUM(G68:G71)</f>
        <v>8515623.9425003789</v>
      </c>
    </row>
    <row r="74" spans="1:9">
      <c r="A74" s="47" t="s">
        <v>189</v>
      </c>
      <c r="F74" s="62">
        <f>SGS!$F$40</f>
        <v>2.725E-2</v>
      </c>
      <c r="G74" s="7">
        <f>+E51*F74</f>
        <v>1172960.99</v>
      </c>
    </row>
  </sheetData>
  <phoneticPr fontId="0" type="noConversion"/>
  <pageMargins left="0.75" right="0.75" top="1" bottom="0.5" header="0.5" footer="0.5"/>
  <pageSetup scale="73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1"/>
  <sheetViews>
    <sheetView topLeftCell="A4" workbookViewId="0">
      <selection activeCell="I29" sqref="I29"/>
    </sheetView>
  </sheetViews>
  <sheetFormatPr defaultRowHeight="12.5"/>
  <cols>
    <col min="1" max="1" width="36.26953125" customWidth="1"/>
    <col min="2" max="3" width="12.81640625" customWidth="1"/>
    <col min="4" max="4" width="13.453125" customWidth="1"/>
    <col min="5" max="5" width="16.26953125" style="16" customWidth="1"/>
    <col min="6" max="6" width="13.26953125" style="16" customWidth="1"/>
    <col min="7" max="7" width="14.54296875" style="16" customWidth="1"/>
    <col min="8" max="8" width="10.7265625" style="16" bestFit="1" customWidth="1"/>
    <col min="9" max="10" width="8.8164062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69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t="s">
        <v>70</v>
      </c>
    </row>
    <row r="13" spans="1:7">
      <c r="A13" t="s">
        <v>25</v>
      </c>
    </row>
    <row r="14" spans="1:7">
      <c r="A14" t="s">
        <v>71</v>
      </c>
      <c r="B14" s="71">
        <v>92088</v>
      </c>
      <c r="C14" s="165">
        <v>7.8</v>
      </c>
      <c r="D14" s="7">
        <f>+B14*C14</f>
        <v>718286.4</v>
      </c>
      <c r="E14" s="52">
        <f>+B14</f>
        <v>92088</v>
      </c>
      <c r="F14" s="67">
        <f>'Rate Input'!F125</f>
        <v>8.25</v>
      </c>
      <c r="G14" s="7">
        <f>+E14*F14</f>
        <v>759726</v>
      </c>
    </row>
    <row r="15" spans="1:7">
      <c r="A15" t="s">
        <v>72</v>
      </c>
      <c r="B15" s="71">
        <v>1320</v>
      </c>
      <c r="C15" s="165">
        <v>8.8800000000000008</v>
      </c>
      <c r="D15" s="7">
        <f>+B15*C15</f>
        <v>11721.6</v>
      </c>
      <c r="E15" s="52">
        <f>+B15</f>
        <v>1320</v>
      </c>
      <c r="F15" s="67">
        <f>'Rate Input'!F126</f>
        <v>9.3000000000000007</v>
      </c>
      <c r="G15" s="7">
        <f>+E15*F15</f>
        <v>12276.000000000002</v>
      </c>
    </row>
    <row r="16" spans="1:7">
      <c r="A16" t="s">
        <v>73</v>
      </c>
      <c r="B16" s="71">
        <v>27336</v>
      </c>
      <c r="C16" s="165">
        <v>10.7</v>
      </c>
      <c r="D16" s="7">
        <f>+B16*C16</f>
        <v>292495.19999999995</v>
      </c>
      <c r="E16" s="52">
        <f>+B16</f>
        <v>27336</v>
      </c>
      <c r="F16" s="67">
        <f>'Rate Input'!F127</f>
        <v>11.4</v>
      </c>
      <c r="G16" s="7">
        <f>+E16*F16</f>
        <v>311630.40000000002</v>
      </c>
    </row>
    <row r="17" spans="1:7">
      <c r="A17" t="s">
        <v>74</v>
      </c>
      <c r="B17" s="71">
        <v>6048</v>
      </c>
      <c r="C17" s="165">
        <v>15.96</v>
      </c>
      <c r="D17" s="7">
        <f>+B17*C17</f>
        <v>96526.080000000002</v>
      </c>
      <c r="E17" s="52">
        <f>+B17</f>
        <v>6048</v>
      </c>
      <c r="F17" s="67">
        <f>'Rate Input'!F128</f>
        <v>16.55</v>
      </c>
      <c r="G17" s="7">
        <f>+E17*F17</f>
        <v>100094.40000000001</v>
      </c>
    </row>
    <row r="18" spans="1:7">
      <c r="B18" s="58"/>
      <c r="C18" s="65"/>
      <c r="D18" s="7"/>
      <c r="E18" s="52"/>
      <c r="F18" s="67"/>
      <c r="G18" s="7"/>
    </row>
    <row r="19" spans="1:7">
      <c r="A19" t="s">
        <v>75</v>
      </c>
      <c r="B19" s="58"/>
      <c r="C19" s="65"/>
      <c r="D19" s="7"/>
      <c r="E19" s="52"/>
      <c r="F19" s="67"/>
      <c r="G19" s="7"/>
    </row>
    <row r="20" spans="1:7">
      <c r="A20" t="s">
        <v>25</v>
      </c>
      <c r="B20" s="58"/>
      <c r="C20" s="65"/>
      <c r="D20" s="7"/>
      <c r="E20" s="52"/>
      <c r="F20" s="67"/>
      <c r="G20" s="7"/>
    </row>
    <row r="21" spans="1:7">
      <c r="A21" t="s">
        <v>71</v>
      </c>
      <c r="B21" s="71">
        <v>5508</v>
      </c>
      <c r="C21" s="165">
        <v>11.05</v>
      </c>
      <c r="D21" s="7">
        <f>+B21*C21</f>
        <v>60863.4</v>
      </c>
      <c r="E21" s="52">
        <f>+B21</f>
        <v>5508</v>
      </c>
      <c r="F21" s="67">
        <f>'Rate Input'!F132</f>
        <v>12.05</v>
      </c>
      <c r="G21" s="7">
        <f>+E21*F21</f>
        <v>66371.400000000009</v>
      </c>
    </row>
    <row r="22" spans="1:7">
      <c r="A22" t="s">
        <v>72</v>
      </c>
      <c r="B22" s="71">
        <v>348</v>
      </c>
      <c r="C22" s="165">
        <v>12.23</v>
      </c>
      <c r="D22" s="7">
        <f>+B22*C22</f>
        <v>4256.04</v>
      </c>
      <c r="E22" s="52">
        <f>+B22</f>
        <v>348</v>
      </c>
      <c r="F22" s="67">
        <f>'Rate Input'!F133</f>
        <v>13.35</v>
      </c>
      <c r="G22" s="7">
        <f>+E22*F22</f>
        <v>4645.8</v>
      </c>
    </row>
    <row r="23" spans="1:7">
      <c r="A23" t="s">
        <v>73</v>
      </c>
      <c r="B23" s="71">
        <v>6588</v>
      </c>
      <c r="C23" s="165">
        <v>14.15</v>
      </c>
      <c r="D23" s="7">
        <f>+B23*C23</f>
        <v>93220.2</v>
      </c>
      <c r="E23" s="52">
        <f>+B23</f>
        <v>6588</v>
      </c>
      <c r="F23" s="67">
        <f>'Rate Input'!F134</f>
        <v>15.45</v>
      </c>
      <c r="G23" s="7">
        <f>+E23*F23</f>
        <v>101784.59999999999</v>
      </c>
    </row>
    <row r="24" spans="1:7">
      <c r="A24" t="s">
        <v>74</v>
      </c>
      <c r="B24" s="71">
        <v>1452</v>
      </c>
      <c r="C24" s="165">
        <v>19.760000000000002</v>
      </c>
      <c r="D24" s="7">
        <f>+B24*C24</f>
        <v>28691.520000000004</v>
      </c>
      <c r="E24" s="52">
        <f>+B24</f>
        <v>1452</v>
      </c>
      <c r="F24" s="67">
        <f>'Rate Input'!F135</f>
        <v>21.5</v>
      </c>
      <c r="G24" s="7">
        <f>+E24*F24</f>
        <v>31218</v>
      </c>
    </row>
    <row r="25" spans="1:7">
      <c r="B25" s="58"/>
      <c r="C25" s="65"/>
      <c r="D25" s="7"/>
      <c r="E25" s="52"/>
      <c r="F25" s="67"/>
      <c r="G25" s="7"/>
    </row>
    <row r="26" spans="1:7">
      <c r="A26" t="s">
        <v>76</v>
      </c>
      <c r="B26" s="58"/>
      <c r="C26" s="65"/>
      <c r="D26" s="7"/>
      <c r="E26" s="52"/>
      <c r="F26" s="67"/>
      <c r="G26" s="7"/>
    </row>
    <row r="27" spans="1:7">
      <c r="A27" t="s">
        <v>25</v>
      </c>
      <c r="B27" s="58"/>
      <c r="C27" s="65"/>
      <c r="D27" s="7"/>
      <c r="E27" s="52"/>
      <c r="F27" s="67"/>
      <c r="G27" s="7"/>
    </row>
    <row r="28" spans="1:7">
      <c r="A28" s="8" t="s">
        <v>71</v>
      </c>
      <c r="B28" s="71">
        <v>0</v>
      </c>
      <c r="C28" s="165">
        <v>20.399999999999999</v>
      </c>
      <c r="D28" s="7">
        <f>+B28*C28</f>
        <v>0</v>
      </c>
      <c r="E28" s="52">
        <f>+B28</f>
        <v>0</v>
      </c>
      <c r="F28" s="67">
        <f>'Rate Input'!F139</f>
        <v>29.05</v>
      </c>
      <c r="G28" s="7">
        <f>+E28*F28</f>
        <v>0</v>
      </c>
    </row>
    <row r="29" spans="1:7">
      <c r="A29" s="8" t="s">
        <v>72</v>
      </c>
      <c r="B29" s="71">
        <v>0</v>
      </c>
      <c r="C29" s="165">
        <v>21.38</v>
      </c>
      <c r="D29" s="7">
        <f>+B29*C29</f>
        <v>0</v>
      </c>
      <c r="E29" s="52">
        <f>+B29</f>
        <v>0</v>
      </c>
      <c r="F29" s="67">
        <f>'Rate Input'!F140</f>
        <v>30.3</v>
      </c>
      <c r="G29" s="7">
        <f>+E29*F29</f>
        <v>0</v>
      </c>
    </row>
    <row r="30" spans="1:7">
      <c r="A30" s="8" t="s">
        <v>73</v>
      </c>
      <c r="B30" s="71">
        <v>1128</v>
      </c>
      <c r="C30" s="165">
        <v>27.2</v>
      </c>
      <c r="D30" s="7">
        <f>+B30*C30</f>
        <v>30681.599999999999</v>
      </c>
      <c r="E30" s="52">
        <f>+B30</f>
        <v>1128</v>
      </c>
      <c r="F30" s="67">
        <f>'Rate Input'!F141</f>
        <v>29.45</v>
      </c>
      <c r="G30" s="7">
        <f>+E30*F30</f>
        <v>33219.599999999999</v>
      </c>
    </row>
    <row r="31" spans="1:7">
      <c r="A31" s="8" t="s">
        <v>74</v>
      </c>
      <c r="B31" s="71">
        <v>300</v>
      </c>
      <c r="C31" s="165">
        <v>29.46</v>
      </c>
      <c r="D31" s="7">
        <f>+B31*C31</f>
        <v>8838</v>
      </c>
      <c r="E31" s="52">
        <f>+B31</f>
        <v>300</v>
      </c>
      <c r="F31" s="67">
        <f>'Rate Input'!F142</f>
        <v>32.200000000000003</v>
      </c>
      <c r="G31" s="7">
        <f>+E31*F31</f>
        <v>9660</v>
      </c>
    </row>
    <row r="32" spans="1:7">
      <c r="B32" s="72"/>
      <c r="D32" s="7"/>
      <c r="E32" s="52"/>
      <c r="F32" s="58"/>
      <c r="G32" s="7"/>
    </row>
    <row r="33" spans="1:8">
      <c r="A33" t="s">
        <v>11</v>
      </c>
      <c r="B33" s="61">
        <v>8283856</v>
      </c>
      <c r="D33" s="7"/>
      <c r="E33" s="52">
        <f>B33</f>
        <v>8283856</v>
      </c>
      <c r="F33" s="58"/>
      <c r="G33" s="7"/>
    </row>
    <row r="34" spans="1:8">
      <c r="B34" s="61"/>
      <c r="D34" s="7"/>
      <c r="E34" s="52"/>
      <c r="F34" s="58"/>
      <c r="G34" s="7"/>
    </row>
    <row r="35" spans="1:8">
      <c r="A35" s="47" t="s">
        <v>13</v>
      </c>
      <c r="B35" s="61"/>
      <c r="D35" s="7"/>
      <c r="E35" s="52">
        <f>+B35</f>
        <v>0</v>
      </c>
      <c r="F35" s="58"/>
      <c r="G35" s="7"/>
    </row>
    <row r="36" spans="1:8">
      <c r="B36" s="14"/>
      <c r="D36" s="7"/>
      <c r="E36" s="52"/>
      <c r="F36" s="58"/>
      <c r="G36" s="7"/>
    </row>
    <row r="37" spans="1:8">
      <c r="A37" t="str">
        <f>+RS!A$25</f>
        <v xml:space="preserve">Fuel </v>
      </c>
      <c r="C37" s="217">
        <f>+RS!C25</f>
        <v>1.5985060633393854E-3</v>
      </c>
      <c r="D37" s="7">
        <f>+B33*C37</f>
        <v>13241.794043830347</v>
      </c>
      <c r="E37" s="52"/>
      <c r="F37" s="62">
        <f>+RS!F25</f>
        <v>1.5985060633393854E-3</v>
      </c>
      <c r="G37" s="7">
        <f>+E33*F37</f>
        <v>13241.794043830347</v>
      </c>
    </row>
    <row r="38" spans="1:8">
      <c r="D38" s="7"/>
      <c r="E38" s="52"/>
      <c r="G38" s="7"/>
    </row>
    <row r="39" spans="1:8">
      <c r="A39" s="47" t="s">
        <v>263</v>
      </c>
      <c r="D39" s="7">
        <v>1192</v>
      </c>
      <c r="E39" s="52"/>
      <c r="G39" s="7">
        <v>0</v>
      </c>
    </row>
    <row r="40" spans="1:8">
      <c r="D40" s="7"/>
      <c r="E40" s="52"/>
      <c r="F40" s="67"/>
      <c r="G40" s="7"/>
    </row>
    <row r="41" spans="1:8">
      <c r="A41" t="str">
        <f>RS!A30</f>
        <v>Big Sandy 1 Operations Rider</v>
      </c>
      <c r="C41" s="171">
        <v>1.6000000000000001E-3</v>
      </c>
      <c r="D41" s="7">
        <v>12872</v>
      </c>
      <c r="E41" s="52"/>
      <c r="F41" s="66"/>
      <c r="G41" s="7">
        <v>0</v>
      </c>
    </row>
    <row r="42" spans="1:8">
      <c r="D42" s="7"/>
      <c r="E42" s="52"/>
      <c r="F42" s="67"/>
      <c r="G42" s="7"/>
    </row>
    <row r="43" spans="1:8">
      <c r="A43" t="s">
        <v>18</v>
      </c>
      <c r="C43" s="163">
        <v>5.4338999999999998E-2</v>
      </c>
      <c r="D43" s="7">
        <v>34222</v>
      </c>
      <c r="E43" s="7"/>
      <c r="F43" s="80"/>
      <c r="G43" s="7">
        <v>0</v>
      </c>
    </row>
    <row r="44" spans="1:8">
      <c r="A44" s="12"/>
      <c r="B44" s="12"/>
      <c r="C44" s="12"/>
      <c r="D44" s="13"/>
      <c r="E44" s="225"/>
      <c r="F44" s="209"/>
      <c r="G44" s="13"/>
    </row>
    <row r="45" spans="1:8">
      <c r="A45" s="47" t="s">
        <v>261</v>
      </c>
      <c r="D45" s="7">
        <f>SUM(D14:D43)</f>
        <v>1407107.8340438304</v>
      </c>
      <c r="E45" s="52"/>
      <c r="F45" s="74"/>
      <c r="G45" s="7">
        <f>SUM(G14:G43)</f>
        <v>1443867.9940438303</v>
      </c>
      <c r="H45" s="74"/>
    </row>
    <row r="47" spans="1:8">
      <c r="A47" t="s">
        <v>286</v>
      </c>
      <c r="E47" s="74">
        <f>G45-G37-G51</f>
        <v>1204891.1239999998</v>
      </c>
      <c r="F47" s="195">
        <f>SGS!F36</f>
        <v>1.1413000000000001E-2</v>
      </c>
      <c r="G47" s="7">
        <f>+E47*F47</f>
        <v>13751.422398212</v>
      </c>
    </row>
    <row r="48" spans="1:8">
      <c r="A48" s="12"/>
      <c r="B48" s="12"/>
      <c r="C48" s="12"/>
      <c r="D48" s="12"/>
      <c r="E48" s="209"/>
      <c r="F48" s="209"/>
      <c r="G48" s="209"/>
    </row>
    <row r="49" spans="1:7">
      <c r="A49" t="s">
        <v>262</v>
      </c>
      <c r="D49" s="74">
        <f>SUM(D45:D48)</f>
        <v>1407107.8340438304</v>
      </c>
      <c r="G49" s="74">
        <f>SUM(G45:G48)</f>
        <v>1457619.4164420422</v>
      </c>
    </row>
    <row r="51" spans="1:7">
      <c r="A51" s="47" t="s">
        <v>189</v>
      </c>
      <c r="C51" s="15"/>
      <c r="F51" s="62">
        <f>SGS!$F$40</f>
        <v>2.725E-2</v>
      </c>
      <c r="G51" s="7">
        <f>+E33*F51</f>
        <v>225735.076</v>
      </c>
    </row>
  </sheetData>
  <phoneticPr fontId="0" type="noConversion"/>
  <pageMargins left="0.75" right="0.75" top="1" bottom="0.75" header="0.5" footer="0.5"/>
  <pageSetup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I31"/>
  <sheetViews>
    <sheetView workbookViewId="0">
      <selection activeCell="D36" sqref="D36"/>
    </sheetView>
  </sheetViews>
  <sheetFormatPr defaultColWidth="9.1796875" defaultRowHeight="15.5"/>
  <cols>
    <col min="1" max="1" width="11.453125" style="96" bestFit="1" customWidth="1"/>
    <col min="2" max="2" width="12.7265625" style="96" customWidth="1"/>
    <col min="3" max="4" width="15.7265625" style="96" customWidth="1"/>
    <col min="5" max="5" width="13.7265625" style="96" customWidth="1"/>
    <col min="6" max="7" width="10.7265625" style="96" bestFit="1" customWidth="1"/>
    <col min="8" max="8" width="8.453125" style="96" bestFit="1" customWidth="1"/>
    <col min="9" max="9" width="11" style="96" bestFit="1" customWidth="1"/>
    <col min="10" max="10" width="9.1796875" style="96"/>
    <col min="11" max="11" width="9.7265625" style="96" bestFit="1" customWidth="1"/>
    <col min="12" max="16384" width="9.1796875" style="96"/>
  </cols>
  <sheetData>
    <row r="3" spans="1:9">
      <c r="H3" s="124"/>
    </row>
    <row r="4" spans="1:9">
      <c r="C4" s="125" t="s">
        <v>14</v>
      </c>
      <c r="D4" s="125" t="s">
        <v>49</v>
      </c>
      <c r="E4" s="125"/>
      <c r="F4" s="125" t="s">
        <v>235</v>
      </c>
      <c r="G4" s="137" t="s">
        <v>236</v>
      </c>
      <c r="H4" s="124"/>
    </row>
    <row r="5" spans="1:9">
      <c r="B5" s="126" t="s">
        <v>195</v>
      </c>
      <c r="C5" s="125" t="s">
        <v>4</v>
      </c>
      <c r="D5" s="125" t="s">
        <v>2</v>
      </c>
      <c r="E5" s="125"/>
      <c r="F5" s="125" t="s">
        <v>97</v>
      </c>
      <c r="G5" s="137" t="s">
        <v>97</v>
      </c>
      <c r="I5" s="125" t="s">
        <v>223</v>
      </c>
    </row>
    <row r="6" spans="1:9">
      <c r="A6" s="127" t="s">
        <v>80</v>
      </c>
      <c r="B6" s="128" t="s">
        <v>196</v>
      </c>
      <c r="C6" s="127" t="s">
        <v>7</v>
      </c>
      <c r="D6" s="127" t="s">
        <v>7</v>
      </c>
      <c r="E6" s="127" t="s">
        <v>212</v>
      </c>
      <c r="F6" s="127" t="s">
        <v>212</v>
      </c>
      <c r="G6" s="138" t="s">
        <v>212</v>
      </c>
      <c r="I6" s="127" t="s">
        <v>224</v>
      </c>
    </row>
    <row r="7" spans="1:9">
      <c r="A7" s="127"/>
      <c r="B7" s="124"/>
      <c r="G7" s="139"/>
    </row>
    <row r="8" spans="1:9">
      <c r="A8" s="96" t="s">
        <v>197</v>
      </c>
      <c r="B8" s="131">
        <f>SUM(SUMMARY!P11:P15)</f>
        <v>136519</v>
      </c>
      <c r="C8" s="129">
        <f>SUM(SUMMARY!C11:C15)</f>
        <v>215744787.07454881</v>
      </c>
      <c r="D8" s="129">
        <f>SUM(SUMMARY!D11:D15)</f>
        <v>235830985.51910883</v>
      </c>
      <c r="E8" s="129">
        <f>D8-C8</f>
        <v>20086198.444560021</v>
      </c>
      <c r="F8" s="130">
        <f>IF(C8&gt;0,E8/C8,0)</f>
        <v>9.3101662927407847E-2</v>
      </c>
      <c r="G8" s="140">
        <v>0.16042584067452961</v>
      </c>
      <c r="H8" s="143"/>
      <c r="I8" s="130">
        <v>0.12903248154357988</v>
      </c>
    </row>
    <row r="9" spans="1:9" ht="4.5" customHeight="1">
      <c r="B9" s="131"/>
      <c r="F9" s="130"/>
      <c r="G9" s="140"/>
      <c r="H9" s="143"/>
      <c r="I9" s="130"/>
    </row>
    <row r="10" spans="1:9">
      <c r="A10" s="96" t="s">
        <v>199</v>
      </c>
      <c r="B10" s="131">
        <f>SUM(SUMMARY!P19:P25)</f>
        <v>23887</v>
      </c>
      <c r="C10" s="129">
        <f>SUM(SUMMARY!C19:C25)</f>
        <v>18679797.781678338</v>
      </c>
      <c r="D10" s="129">
        <f>SUM(SUMMARY!D19:D25)</f>
        <v>19665714.667808339</v>
      </c>
      <c r="E10" s="129">
        <f>D10-C10</f>
        <v>985916.8861300014</v>
      </c>
      <c r="F10" s="130">
        <f>IF(C10&gt;0,E10/C10,0)</f>
        <v>5.2779847921962837E-2</v>
      </c>
      <c r="G10" s="140">
        <v>0.10399073493610542</v>
      </c>
      <c r="H10" s="143"/>
      <c r="I10" s="130">
        <v>6.7241793429778721E-2</v>
      </c>
    </row>
    <row r="11" spans="1:9" ht="4.5" customHeight="1">
      <c r="B11" s="131"/>
      <c r="F11" s="130"/>
      <c r="G11" s="140"/>
      <c r="I11" s="130"/>
    </row>
    <row r="12" spans="1:9">
      <c r="A12" s="96" t="s">
        <v>142</v>
      </c>
      <c r="B12" s="131">
        <f>SUM(SUMMARY!P27:P37)</f>
        <v>6793</v>
      </c>
      <c r="C12" s="129">
        <f>SUM(SUMMARY!C27:C37)</f>
        <v>53627370.164961316</v>
      </c>
      <c r="D12" s="129">
        <f>SUM(SUMMARY!D27:D37)</f>
        <v>57041315.987911314</v>
      </c>
      <c r="E12" s="129">
        <f>D12-C12</f>
        <v>3413945.8229499981</v>
      </c>
      <c r="F12" s="130">
        <f>IF(C12&gt;0,E12/C12,0)</f>
        <v>6.3660511646356638E-2</v>
      </c>
      <c r="G12" s="140">
        <v>8.3250894706320008E-2</v>
      </c>
      <c r="H12" s="143"/>
      <c r="I12" s="130">
        <v>6.4236670575370497E-2</v>
      </c>
    </row>
    <row r="13" spans="1:9" ht="4.5" customHeight="1">
      <c r="B13" s="131"/>
      <c r="F13" s="130"/>
      <c r="G13" s="140"/>
      <c r="I13" s="130"/>
    </row>
    <row r="14" spans="1:9">
      <c r="A14" s="96" t="s">
        <v>234</v>
      </c>
      <c r="B14" s="131">
        <f>SUM(SUMMARY!P39:P41)</f>
        <v>162</v>
      </c>
      <c r="C14" s="129">
        <f>SUM(SUMMARY!C39:C41)</f>
        <v>11504478.012953892</v>
      </c>
      <c r="D14" s="129">
        <f>SUM(SUMMARY!D39:D41)</f>
        <v>12295506.951773891</v>
      </c>
      <c r="E14" s="129">
        <f>D14-C14</f>
        <v>791028.93881999888</v>
      </c>
      <c r="F14" s="130">
        <f>IF(C14&gt;0,E14/C14,0)</f>
        <v>6.8758351133298756E-2</v>
      </c>
      <c r="G14" s="140">
        <v>0.105299029914057</v>
      </c>
      <c r="H14" s="143"/>
      <c r="I14" s="130"/>
    </row>
    <row r="15" spans="1:9" ht="4.5" customHeight="1">
      <c r="B15" s="131"/>
      <c r="F15" s="130"/>
      <c r="G15" s="140"/>
      <c r="I15" s="130"/>
    </row>
    <row r="16" spans="1:9">
      <c r="A16" s="96" t="s">
        <v>143</v>
      </c>
      <c r="B16" s="131">
        <f>SUM(SUMMARY!P43:P53)</f>
        <v>668</v>
      </c>
      <c r="C16" s="129">
        <f>SUM(SUMMARY!C43:C53)</f>
        <v>51375193.333825424</v>
      </c>
      <c r="D16" s="129">
        <f>SUM(SUMMARY!D43:D53)</f>
        <v>54111359.681975409</v>
      </c>
      <c r="E16" s="129">
        <f>D16-C16</f>
        <v>2736166.3481499851</v>
      </c>
      <c r="F16" s="130">
        <f>IF(C16&gt;0,E16/C16,0)</f>
        <v>5.3258511950912565E-2</v>
      </c>
      <c r="G16" s="140">
        <v>0.10529902991405739</v>
      </c>
      <c r="H16" s="143"/>
      <c r="I16" s="130">
        <v>6.1752821256605382E-2</v>
      </c>
    </row>
    <row r="17" spans="1:9" ht="4.5" customHeight="1">
      <c r="B17" s="131"/>
      <c r="F17" s="130"/>
      <c r="G17" s="140"/>
      <c r="I17" s="130"/>
    </row>
    <row r="18" spans="1:9">
      <c r="A18" s="96" t="s">
        <v>200</v>
      </c>
      <c r="B18" s="131">
        <f>SUM(SUMMARY!P55:P61)</f>
        <v>68</v>
      </c>
      <c r="C18" s="129">
        <f>SUM(SUMMARY!C55:C61)</f>
        <v>138769642.37893879</v>
      </c>
      <c r="D18" s="129">
        <f>SUM(SUMMARY!D55:D61)</f>
        <v>142304352.33302677</v>
      </c>
      <c r="E18" s="129">
        <f>D18-C18</f>
        <v>3534709.9540879726</v>
      </c>
      <c r="F18" s="130">
        <f>IF(C18&gt;0,E18/C18,0)</f>
        <v>2.5471781100622329E-2</v>
      </c>
      <c r="G18" s="140">
        <v>0.10172282501483416</v>
      </c>
      <c r="H18" s="143"/>
      <c r="I18" s="130">
        <v>6.1599266890140773E-2</v>
      </c>
    </row>
    <row r="19" spans="1:9" ht="4.5" customHeight="1">
      <c r="B19" s="131"/>
      <c r="F19" s="130"/>
      <c r="G19" s="140"/>
      <c r="I19" s="130"/>
    </row>
    <row r="20" spans="1:9">
      <c r="A20" s="96" t="s">
        <v>198</v>
      </c>
      <c r="B20" s="131"/>
      <c r="C20" s="129">
        <f>SUMMARY!C17</f>
        <v>8231794.7983330507</v>
      </c>
      <c r="D20" s="129">
        <f>SUMMARY!D17</f>
        <v>8433544.1983330492</v>
      </c>
      <c r="E20" s="129">
        <f>D20-C20</f>
        <v>201749.39999999851</v>
      </c>
      <c r="F20" s="130">
        <f>IF(C20&gt;0,E20/C20,0)</f>
        <v>2.450855553892731E-2</v>
      </c>
      <c r="G20" s="140">
        <v>0.128849870668516</v>
      </c>
      <c r="H20" s="143"/>
      <c r="I20" s="130">
        <v>5.8231311347650763E-2</v>
      </c>
    </row>
    <row r="21" spans="1:9" ht="4.5" customHeight="1">
      <c r="B21" s="131"/>
      <c r="F21" s="130"/>
      <c r="G21" s="140"/>
      <c r="I21" s="130"/>
    </row>
    <row r="22" spans="1:9">
      <c r="A22" s="96" t="s">
        <v>144</v>
      </c>
      <c r="B22" s="131">
        <f>SUMMARY!P63</f>
        <v>0</v>
      </c>
      <c r="C22" s="129">
        <f>SUMMARY!C63</f>
        <v>1407107.8340438304</v>
      </c>
      <c r="D22" s="129">
        <f>SUMMARY!D63</f>
        <v>1443867.9940438303</v>
      </c>
      <c r="E22" s="129">
        <f>D22-C22</f>
        <v>36760.159999999916</v>
      </c>
      <c r="F22" s="130">
        <f>IF(C22&gt;0,E22/C22,0)</f>
        <v>2.612462180269182E-2</v>
      </c>
      <c r="G22" s="140">
        <v>0.13143039918680299</v>
      </c>
      <c r="H22" s="143"/>
      <c r="I22" s="130">
        <v>5.9908980925890983E-2</v>
      </c>
    </row>
    <row r="23" spans="1:9" ht="4.5" customHeight="1">
      <c r="B23" s="131"/>
      <c r="F23" s="130"/>
      <c r="G23" s="140"/>
      <c r="I23" s="130"/>
    </row>
    <row r="24" spans="1:9">
      <c r="A24" s="132" t="s">
        <v>153</v>
      </c>
      <c r="B24" s="135">
        <f>SUMMARY!P65</f>
        <v>10</v>
      </c>
      <c r="C24" s="133">
        <f>SUMMARY!C65</f>
        <v>194342.4664362481</v>
      </c>
      <c r="D24" s="133">
        <f>SUMMARY!D65</f>
        <v>199303.0546362481</v>
      </c>
      <c r="E24" s="133">
        <f>D24-C24</f>
        <v>4960.5881999999983</v>
      </c>
      <c r="F24" s="134">
        <f>IF(C24&gt;0,E24/C24,0)</f>
        <v>2.5524983247175493E-2</v>
      </c>
      <c r="G24" s="141">
        <v>8.4547661300573423E-2</v>
      </c>
      <c r="H24" s="143"/>
      <c r="I24" s="134">
        <v>5.7266353776057363E-2</v>
      </c>
    </row>
    <row r="25" spans="1:9" ht="4.5" customHeight="1">
      <c r="G25" s="140"/>
    </row>
    <row r="26" spans="1:9">
      <c r="A26" s="96" t="s">
        <v>14</v>
      </c>
      <c r="B26" s="136">
        <f>SUM(B8:B24)</f>
        <v>168107</v>
      </c>
      <c r="C26" s="129">
        <f>SUM(C8:C24)</f>
        <v>499534513.8457197</v>
      </c>
      <c r="D26" s="129">
        <f>SUM(D8:D24)</f>
        <v>531325950.38861769</v>
      </c>
      <c r="E26" s="129">
        <f>SUM(E8:E24)</f>
        <v>31791436.542897977</v>
      </c>
      <c r="F26" s="130">
        <f>IF(C26&gt;0,E26/C26,0)</f>
        <v>6.3642122139165549E-2</v>
      </c>
      <c r="G26" s="140">
        <v>0.12480067974719174</v>
      </c>
      <c r="H26" s="143"/>
      <c r="I26" s="130">
        <v>8.9729451455930989E-2</v>
      </c>
    </row>
    <row r="27" spans="1:9">
      <c r="F27" s="130"/>
      <c r="G27" s="140"/>
    </row>
    <row r="28" spans="1:9">
      <c r="F28" s="130"/>
      <c r="G28" s="140"/>
    </row>
    <row r="29" spans="1:9">
      <c r="A29" s="96" t="s">
        <v>152</v>
      </c>
      <c r="B29" s="124">
        <f>SUM(SUMMARY!P55:P57)</f>
        <v>39</v>
      </c>
      <c r="C29" s="129">
        <f>SUM(SUMMARY!C55:C57)</f>
        <v>22310192.541926127</v>
      </c>
      <c r="D29" s="129">
        <f>SUM(SUMMARY!D55:D57)</f>
        <v>23989955.613294117</v>
      </c>
      <c r="E29" s="129">
        <f>D29-C29</f>
        <v>1679763.0713679902</v>
      </c>
      <c r="F29" s="130">
        <f>IF(C29&gt;0,E29/C29,0)</f>
        <v>7.529128528188711E-2</v>
      </c>
      <c r="G29" s="140">
        <v>0.15029979868496504</v>
      </c>
    </row>
    <row r="30" spans="1:9">
      <c r="A30" s="96" t="s">
        <v>237</v>
      </c>
      <c r="B30" s="124">
        <f>SUM(SUMMARY!P59:P61)</f>
        <v>29</v>
      </c>
      <c r="C30" s="129">
        <f>SUM(SUMMARY!C59:C61)</f>
        <v>116459449.83701266</v>
      </c>
      <c r="D30" s="129">
        <f>SUM(SUMMARY!D59:D61)</f>
        <v>118314396.71973264</v>
      </c>
      <c r="E30" s="129">
        <f>D30-C30</f>
        <v>1854946.8827199787</v>
      </c>
      <c r="F30" s="130">
        <f>IF(C30&gt;0,E30/C30,0)</f>
        <v>1.5927834841363359E-2</v>
      </c>
      <c r="G30" s="140">
        <v>7.933101048674604E-2</v>
      </c>
    </row>
    <row r="31" spans="1:9">
      <c r="F31"/>
      <c r="G3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H1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7" sqref="I17"/>
    </sheetView>
  </sheetViews>
  <sheetFormatPr defaultRowHeight="12.5"/>
  <cols>
    <col min="1" max="1" width="34.7265625" customWidth="1"/>
    <col min="2" max="2" width="13.54296875" bestFit="1" customWidth="1"/>
    <col min="3" max="3" width="12.54296875" style="263" customWidth="1"/>
    <col min="4" max="4" width="15.81640625" bestFit="1" customWidth="1"/>
    <col min="5" max="5" width="15.54296875" bestFit="1" customWidth="1"/>
    <col min="6" max="6" width="12" bestFit="1" customWidth="1"/>
    <col min="7" max="7" width="25.7265625" style="265" bestFit="1" customWidth="1"/>
  </cols>
  <sheetData>
    <row r="3" spans="1:8" s="1" customFormat="1">
      <c r="B3" s="1" t="s">
        <v>356</v>
      </c>
      <c r="C3" s="261" t="s">
        <v>209</v>
      </c>
      <c r="D3" s="1" t="s">
        <v>364</v>
      </c>
      <c r="E3" s="1" t="s">
        <v>357</v>
      </c>
      <c r="F3" s="1" t="s">
        <v>358</v>
      </c>
      <c r="G3" s="264" t="s">
        <v>359</v>
      </c>
    </row>
    <row r="4" spans="1:8">
      <c r="A4" t="s">
        <v>81</v>
      </c>
      <c r="B4" s="259">
        <v>14</v>
      </c>
      <c r="C4" s="262">
        <v>0.10265000000000001</v>
      </c>
      <c r="G4" s="265">
        <v>7.3400000000000002E-3</v>
      </c>
      <c r="H4" t="s">
        <v>366</v>
      </c>
    </row>
    <row r="5" spans="1:8">
      <c r="A5" t="s">
        <v>15</v>
      </c>
      <c r="C5" s="262">
        <v>6.3469999999999999E-2</v>
      </c>
    </row>
    <row r="6" spans="1:8">
      <c r="A6" t="s">
        <v>82</v>
      </c>
    </row>
    <row r="7" spans="1:8">
      <c r="A7" t="s">
        <v>360</v>
      </c>
      <c r="C7" s="262">
        <v>0.15298999999999999</v>
      </c>
    </row>
    <row r="8" spans="1:8">
      <c r="A8" t="s">
        <v>361</v>
      </c>
      <c r="C8" s="262">
        <v>6.3469999999999999E-2</v>
      </c>
    </row>
    <row r="9" spans="1:8">
      <c r="A9" t="s">
        <v>362</v>
      </c>
      <c r="B9" s="259">
        <v>3.75</v>
      </c>
    </row>
    <row r="10" spans="1:8">
      <c r="A10" t="s">
        <v>329</v>
      </c>
      <c r="B10" s="260">
        <v>16</v>
      </c>
    </row>
    <row r="11" spans="1:8">
      <c r="A11" t="s">
        <v>360</v>
      </c>
      <c r="C11" s="263">
        <v>0.15298999999999999</v>
      </c>
    </row>
    <row r="12" spans="1:8">
      <c r="A12" t="s">
        <v>361</v>
      </c>
      <c r="C12" s="263">
        <v>6.3469999999999999E-2</v>
      </c>
    </row>
    <row r="14" spans="1:8">
      <c r="A14" t="s">
        <v>84</v>
      </c>
      <c r="B14" s="259">
        <v>22.5</v>
      </c>
      <c r="G14" s="265">
        <f>1.1443%-0.00003</f>
        <v>1.1413000000000001E-2</v>
      </c>
      <c r="H14" t="s">
        <v>365</v>
      </c>
    </row>
    <row r="15" spans="1:8">
      <c r="A15" s="47" t="s">
        <v>282</v>
      </c>
      <c r="C15" s="262">
        <v>9.8650000000000002E-2</v>
      </c>
    </row>
    <row r="16" spans="1:8">
      <c r="A16" s="47" t="s">
        <v>283</v>
      </c>
      <c r="C16" s="262">
        <v>9.8970000000000002E-2</v>
      </c>
    </row>
    <row r="17" spans="1:4">
      <c r="A17" t="s">
        <v>85</v>
      </c>
      <c r="B17" s="259">
        <v>13.5</v>
      </c>
    </row>
    <row r="18" spans="1:4">
      <c r="A18" t="s">
        <v>109</v>
      </c>
      <c r="B18" s="259">
        <v>22.5</v>
      </c>
    </row>
    <row r="19" spans="1:4">
      <c r="A19" t="s">
        <v>360</v>
      </c>
      <c r="C19" s="262">
        <v>0.16347999999999999</v>
      </c>
    </row>
    <row r="20" spans="1:4">
      <c r="A20" t="s">
        <v>361</v>
      </c>
      <c r="C20" s="262">
        <v>6.3469999999999999E-2</v>
      </c>
    </row>
    <row r="21" spans="1:4">
      <c r="A21" t="s">
        <v>331</v>
      </c>
      <c r="B21" s="259">
        <v>22.5</v>
      </c>
    </row>
    <row r="22" spans="1:4">
      <c r="A22" t="s">
        <v>113</v>
      </c>
      <c r="C22" s="262">
        <v>0.19541</v>
      </c>
    </row>
    <row r="23" spans="1:4">
      <c r="A23" t="s">
        <v>114</v>
      </c>
      <c r="C23" s="262">
        <v>0.15991</v>
      </c>
    </row>
    <row r="24" spans="1:4">
      <c r="A24" t="s">
        <v>48</v>
      </c>
      <c r="C24" s="262">
        <v>8.0879999999999994E-2</v>
      </c>
    </row>
    <row r="26" spans="1:4">
      <c r="A26" t="s">
        <v>333</v>
      </c>
      <c r="B26" s="259">
        <v>22.5</v>
      </c>
      <c r="D26" s="259">
        <v>7.97</v>
      </c>
    </row>
    <row r="27" spans="1:4">
      <c r="A27" s="47" t="s">
        <v>282</v>
      </c>
      <c r="C27" s="262">
        <v>9.8650000000000002E-2</v>
      </c>
    </row>
    <row r="28" spans="1:4">
      <c r="A28" s="47" t="s">
        <v>283</v>
      </c>
      <c r="C28" s="262">
        <v>9.8970000000000002E-2</v>
      </c>
    </row>
    <row r="29" spans="1:4">
      <c r="A29" t="s">
        <v>355</v>
      </c>
      <c r="B29" s="259">
        <v>22.5</v>
      </c>
      <c r="C29" s="262">
        <v>0.10580000000000001</v>
      </c>
    </row>
    <row r="30" spans="1:4">
      <c r="A30" t="s">
        <v>86</v>
      </c>
      <c r="B30" t="s">
        <v>396</v>
      </c>
    </row>
    <row r="31" spans="1:4">
      <c r="A31" t="s">
        <v>87</v>
      </c>
      <c r="B31" s="259">
        <v>22.5</v>
      </c>
    </row>
    <row r="32" spans="1:4">
      <c r="A32" t="s">
        <v>360</v>
      </c>
      <c r="B32" s="15"/>
      <c r="C32" s="262">
        <v>0.17255000000000001</v>
      </c>
    </row>
    <row r="33" spans="1:5">
      <c r="A33" t="s">
        <v>361</v>
      </c>
      <c r="B33" s="15"/>
      <c r="C33" s="262">
        <v>6.3469999999999999E-2</v>
      </c>
    </row>
    <row r="34" spans="1:5">
      <c r="A34" t="s">
        <v>88</v>
      </c>
      <c r="B34" s="259">
        <v>75</v>
      </c>
      <c r="D34" s="259">
        <v>7.18</v>
      </c>
    </row>
    <row r="35" spans="1:5">
      <c r="A35" s="47" t="s">
        <v>282</v>
      </c>
      <c r="C35" s="262">
        <v>8.8039999999999993E-2</v>
      </c>
    </row>
    <row r="36" spans="1:5">
      <c r="A36" s="47" t="s">
        <v>283</v>
      </c>
      <c r="C36" s="262">
        <v>8.8340000000000002E-2</v>
      </c>
    </row>
    <row r="37" spans="1:5">
      <c r="A37" t="s">
        <v>89</v>
      </c>
      <c r="B37" s="259">
        <v>364</v>
      </c>
      <c r="D37" s="259">
        <v>5.74</v>
      </c>
    </row>
    <row r="38" spans="1:5">
      <c r="A38" s="47" t="s">
        <v>282</v>
      </c>
      <c r="C38" s="262">
        <v>7.1540000000000006E-2</v>
      </c>
    </row>
    <row r="39" spans="1:5">
      <c r="A39" s="47" t="s">
        <v>283</v>
      </c>
      <c r="C39" s="262">
        <v>7.1840000000000001E-2</v>
      </c>
    </row>
    <row r="41" spans="1:5">
      <c r="A41" t="s">
        <v>90</v>
      </c>
      <c r="B41" s="259">
        <v>85</v>
      </c>
      <c r="C41" s="262">
        <v>8.1339999999999996E-2</v>
      </c>
      <c r="D41" s="259">
        <v>7.97</v>
      </c>
      <c r="E41" s="259">
        <v>3.46</v>
      </c>
    </row>
    <row r="42" spans="1:5">
      <c r="A42" t="s">
        <v>91</v>
      </c>
      <c r="B42" s="259">
        <v>85</v>
      </c>
    </row>
    <row r="43" spans="1:5">
      <c r="A43" t="s">
        <v>360</v>
      </c>
      <c r="C43" s="262">
        <v>0.14671999999999999</v>
      </c>
    </row>
    <row r="44" spans="1:5">
      <c r="A44" t="s">
        <v>361</v>
      </c>
      <c r="C44" s="262">
        <v>6.3509999999999997E-2</v>
      </c>
    </row>
    <row r="45" spans="1:5">
      <c r="A45" t="s">
        <v>335</v>
      </c>
      <c r="B45" s="259">
        <v>85</v>
      </c>
      <c r="D45" s="259">
        <v>10.87</v>
      </c>
      <c r="E45" s="259">
        <v>3.46</v>
      </c>
    </row>
    <row r="46" spans="1:5">
      <c r="A46" t="s">
        <v>360</v>
      </c>
      <c r="C46" s="262">
        <v>0.10224</v>
      </c>
    </row>
    <row r="47" spans="1:5">
      <c r="A47" t="s">
        <v>361</v>
      </c>
      <c r="C47" s="262">
        <v>4.369E-2</v>
      </c>
    </row>
    <row r="48" spans="1:5">
      <c r="A48" t="s">
        <v>92</v>
      </c>
      <c r="B48" s="259">
        <v>127.5</v>
      </c>
      <c r="C48" s="262">
        <v>7.152E-2</v>
      </c>
      <c r="D48" s="259">
        <v>7.18</v>
      </c>
      <c r="E48" s="259">
        <v>3.46</v>
      </c>
    </row>
    <row r="49" spans="1:5">
      <c r="A49" t="s">
        <v>93</v>
      </c>
      <c r="B49" s="259">
        <v>660</v>
      </c>
      <c r="C49" s="262">
        <v>5.5350000000000003E-2</v>
      </c>
      <c r="D49" s="259">
        <v>5.74</v>
      </c>
      <c r="E49" s="259">
        <v>3.46</v>
      </c>
    </row>
    <row r="50" spans="1:5">
      <c r="A50" t="s">
        <v>130</v>
      </c>
      <c r="B50" s="259">
        <v>660</v>
      </c>
      <c r="C50" s="262">
        <v>5.4289999999999998E-2</v>
      </c>
      <c r="D50" s="259">
        <v>5.6</v>
      </c>
      <c r="E50" s="259">
        <v>3.46</v>
      </c>
    </row>
    <row r="52" spans="1:5">
      <c r="A52" t="s">
        <v>337</v>
      </c>
      <c r="B52" s="259">
        <v>85</v>
      </c>
      <c r="C52" s="262">
        <v>7.671E-2</v>
      </c>
      <c r="D52" s="259">
        <v>7.97</v>
      </c>
      <c r="E52" s="259">
        <v>3.46</v>
      </c>
    </row>
    <row r="53" spans="1:5">
      <c r="A53" t="s">
        <v>338</v>
      </c>
      <c r="B53" s="260">
        <v>127.5</v>
      </c>
      <c r="C53" s="263">
        <v>6.7089999999999997E-2</v>
      </c>
      <c r="D53" s="260">
        <v>7.18</v>
      </c>
      <c r="E53" s="260">
        <v>3.46</v>
      </c>
    </row>
    <row r="55" spans="1:5">
      <c r="A55" t="s">
        <v>342</v>
      </c>
      <c r="B55" s="259">
        <v>276</v>
      </c>
      <c r="C55" s="262">
        <v>3.005E-2</v>
      </c>
      <c r="E55" s="259">
        <v>0.69</v>
      </c>
    </row>
    <row r="56" spans="1:5">
      <c r="A56" t="s">
        <v>360</v>
      </c>
      <c r="D56" s="259">
        <v>24.13</v>
      </c>
    </row>
    <row r="57" spans="1:5">
      <c r="A57" t="s">
        <v>361</v>
      </c>
      <c r="D57" s="259">
        <v>1.6</v>
      </c>
    </row>
    <row r="58" spans="1:5">
      <c r="A58" t="s">
        <v>363</v>
      </c>
      <c r="D58" s="259">
        <v>25.83</v>
      </c>
    </row>
    <row r="59" spans="1:5">
      <c r="A59" t="s">
        <v>343</v>
      </c>
      <c r="B59" s="259">
        <v>276</v>
      </c>
      <c r="C59" s="262">
        <v>2.8910000000000002E-2</v>
      </c>
      <c r="E59" s="259">
        <v>0.69</v>
      </c>
    </row>
    <row r="60" spans="1:5">
      <c r="A60" t="s">
        <v>360</v>
      </c>
      <c r="D60" s="259">
        <v>20.57</v>
      </c>
    </row>
    <row r="61" spans="1:5">
      <c r="A61" t="s">
        <v>361</v>
      </c>
      <c r="D61" s="259">
        <v>1.55</v>
      </c>
    </row>
    <row r="62" spans="1:5">
      <c r="A62" t="s">
        <v>363</v>
      </c>
      <c r="D62" s="259">
        <v>22.21</v>
      </c>
    </row>
    <row r="63" spans="1:5">
      <c r="A63" t="s">
        <v>344</v>
      </c>
      <c r="B63" s="259">
        <v>794</v>
      </c>
      <c r="C63" s="262">
        <v>2.852E-2</v>
      </c>
      <c r="E63" s="259">
        <v>0.69</v>
      </c>
    </row>
    <row r="64" spans="1:5">
      <c r="A64" t="s">
        <v>360</v>
      </c>
      <c r="D64" s="259">
        <v>13.69</v>
      </c>
    </row>
    <row r="65" spans="1:6">
      <c r="A65" t="s">
        <v>361</v>
      </c>
      <c r="D65" s="259">
        <v>1.51</v>
      </c>
    </row>
    <row r="66" spans="1:6">
      <c r="A66" t="s">
        <v>363</v>
      </c>
      <c r="D66" s="259">
        <v>15.3</v>
      </c>
    </row>
    <row r="67" spans="1:6">
      <c r="A67" t="s">
        <v>345</v>
      </c>
      <c r="B67" s="259">
        <v>1353</v>
      </c>
      <c r="C67" s="262">
        <v>2.8129999999999999E-2</v>
      </c>
      <c r="E67" s="259">
        <v>0.69</v>
      </c>
    </row>
    <row r="68" spans="1:6">
      <c r="A68" t="s">
        <v>360</v>
      </c>
      <c r="D68" s="259">
        <v>13.26</v>
      </c>
    </row>
    <row r="69" spans="1:6">
      <c r="A69" t="s">
        <v>361</v>
      </c>
      <c r="D69" s="259">
        <v>1.49</v>
      </c>
    </row>
    <row r="70" spans="1:6">
      <c r="A70" t="s">
        <v>363</v>
      </c>
      <c r="D70" s="259">
        <v>14.86</v>
      </c>
    </row>
    <row r="71" spans="1:6">
      <c r="D71" s="15"/>
    </row>
    <row r="72" spans="1:6">
      <c r="A72" t="s">
        <v>153</v>
      </c>
      <c r="B72" s="259">
        <v>22.9</v>
      </c>
      <c r="C72" s="262">
        <v>9.2910000000000006E-2</v>
      </c>
      <c r="D72" s="259">
        <v>8.89</v>
      </c>
    </row>
    <row r="74" spans="1:6" ht="13">
      <c r="A74" s="258" t="s">
        <v>83</v>
      </c>
    </row>
    <row r="75" spans="1:6">
      <c r="A75" s="3" t="s">
        <v>24</v>
      </c>
    </row>
    <row r="76" spans="1:6">
      <c r="A76" t="s">
        <v>25</v>
      </c>
    </row>
    <row r="77" spans="1:6">
      <c r="A77" t="s">
        <v>26</v>
      </c>
      <c r="F77" s="259">
        <v>9.75</v>
      </c>
    </row>
    <row r="78" spans="1:6">
      <c r="A78" t="s">
        <v>27</v>
      </c>
      <c r="F78" s="259">
        <v>11.05</v>
      </c>
    </row>
    <row r="79" spans="1:6">
      <c r="A79" t="s">
        <v>28</v>
      </c>
      <c r="F79" s="259">
        <v>13.4</v>
      </c>
    </row>
    <row r="80" spans="1:6">
      <c r="A80" t="s">
        <v>122</v>
      </c>
      <c r="F80" s="259">
        <v>18.2</v>
      </c>
    </row>
    <row r="81" spans="1:6">
      <c r="A81" t="s">
        <v>29</v>
      </c>
      <c r="F81" s="259">
        <v>20.85</v>
      </c>
    </row>
    <row r="83" spans="1:6">
      <c r="A83" t="s">
        <v>30</v>
      </c>
    </row>
    <row r="84" spans="1:6">
      <c r="A84" t="s">
        <v>31</v>
      </c>
      <c r="F84" s="259">
        <v>11.15</v>
      </c>
    </row>
    <row r="85" spans="1:6">
      <c r="A85" t="s">
        <v>32</v>
      </c>
      <c r="F85" s="259">
        <v>19.25</v>
      </c>
    </row>
    <row r="87" spans="1:6">
      <c r="A87" s="3" t="s">
        <v>33</v>
      </c>
    </row>
    <row r="88" spans="1:6">
      <c r="A88" t="s">
        <v>123</v>
      </c>
    </row>
    <row r="89" spans="1:6">
      <c r="A89" t="s">
        <v>34</v>
      </c>
      <c r="F89" s="259">
        <v>15.45</v>
      </c>
    </row>
    <row r="90" spans="1:6">
      <c r="A90" t="s">
        <v>35</v>
      </c>
      <c r="F90" s="259">
        <v>25.4</v>
      </c>
    </row>
    <row r="92" spans="1:6">
      <c r="A92" t="s">
        <v>125</v>
      </c>
    </row>
    <row r="93" spans="1:6">
      <c r="A93" t="s">
        <v>36</v>
      </c>
      <c r="F93" s="259">
        <v>12.8</v>
      </c>
    </row>
    <row r="95" spans="1:6">
      <c r="A95" t="s">
        <v>124</v>
      </c>
    </row>
    <row r="96" spans="1:6">
      <c r="A96" t="s">
        <v>126</v>
      </c>
      <c r="F96" s="259">
        <v>31.25</v>
      </c>
    </row>
    <row r="97" spans="1:6">
      <c r="A97" t="s">
        <v>117</v>
      </c>
      <c r="F97" s="259">
        <v>28.35</v>
      </c>
    </row>
    <row r="98" spans="1:6">
      <c r="A98" t="s">
        <v>127</v>
      </c>
      <c r="F98" s="259">
        <v>41.55</v>
      </c>
    </row>
    <row r="100" spans="1:6">
      <c r="A100" s="3" t="s">
        <v>37</v>
      </c>
    </row>
    <row r="101" spans="1:6">
      <c r="A101" t="s">
        <v>119</v>
      </c>
    </row>
    <row r="102" spans="1:6">
      <c r="A102" t="s">
        <v>38</v>
      </c>
      <c r="F102" s="259">
        <v>15.7</v>
      </c>
    </row>
    <row r="103" spans="1:6">
      <c r="A103" t="s">
        <v>39</v>
      </c>
      <c r="F103" s="259">
        <v>22</v>
      </c>
    </row>
    <row r="105" spans="1:6">
      <c r="A105" t="s">
        <v>120</v>
      </c>
    </row>
    <row r="106" spans="1:6">
      <c r="A106" t="s">
        <v>40</v>
      </c>
      <c r="F106" s="259">
        <v>18.149999999999999</v>
      </c>
    </row>
    <row r="107" spans="1:6">
      <c r="A107" t="s">
        <v>41</v>
      </c>
      <c r="F107" s="259">
        <v>22.8</v>
      </c>
    </row>
    <row r="108" spans="1:6">
      <c r="A108" t="s">
        <v>42</v>
      </c>
      <c r="F108" s="259">
        <v>41.7</v>
      </c>
    </row>
    <row r="110" spans="1:6">
      <c r="A110" t="s">
        <v>121</v>
      </c>
    </row>
    <row r="111" spans="1:6">
      <c r="A111" t="s">
        <v>128</v>
      </c>
      <c r="F111" s="259">
        <v>23.8</v>
      </c>
    </row>
    <row r="112" spans="1:6">
      <c r="A112" t="s">
        <v>129</v>
      </c>
      <c r="F112" s="259">
        <v>28.5</v>
      </c>
    </row>
    <row r="114" spans="1:6">
      <c r="A114" t="s">
        <v>11</v>
      </c>
    </row>
    <row r="116" spans="1:6">
      <c r="A116" t="s">
        <v>43</v>
      </c>
    </row>
    <row r="117" spans="1:6">
      <c r="A117" t="s">
        <v>44</v>
      </c>
      <c r="F117" s="259">
        <v>3.4</v>
      </c>
    </row>
    <row r="118" spans="1:6">
      <c r="A118" t="s">
        <v>45</v>
      </c>
      <c r="F118" s="259">
        <v>2</v>
      </c>
    </row>
    <row r="119" spans="1:6">
      <c r="A119" t="s">
        <v>46</v>
      </c>
      <c r="F119" s="259">
        <v>7.4</v>
      </c>
    </row>
    <row r="122" spans="1:6" ht="13">
      <c r="A122" s="257" t="s">
        <v>94</v>
      </c>
    </row>
    <row r="123" spans="1:6">
      <c r="A123" t="s">
        <v>70</v>
      </c>
    </row>
    <row r="124" spans="1:6">
      <c r="A124" t="s">
        <v>25</v>
      </c>
    </row>
    <row r="125" spans="1:6">
      <c r="A125" t="s">
        <v>71</v>
      </c>
      <c r="F125" s="259">
        <v>8.25</v>
      </c>
    </row>
    <row r="126" spans="1:6">
      <c r="A126" t="s">
        <v>72</v>
      </c>
      <c r="F126" s="259">
        <v>9.3000000000000007</v>
      </c>
    </row>
    <row r="127" spans="1:6">
      <c r="A127" t="s">
        <v>73</v>
      </c>
      <c r="F127" s="259">
        <v>11.4</v>
      </c>
    </row>
    <row r="128" spans="1:6">
      <c r="A128" t="s">
        <v>74</v>
      </c>
      <c r="F128" s="259">
        <v>16.55</v>
      </c>
    </row>
    <row r="130" spans="1:6">
      <c r="A130" t="s">
        <v>75</v>
      </c>
    </row>
    <row r="131" spans="1:6">
      <c r="A131" t="s">
        <v>25</v>
      </c>
    </row>
    <row r="132" spans="1:6">
      <c r="A132" t="s">
        <v>71</v>
      </c>
      <c r="F132" s="259">
        <v>12.05</v>
      </c>
    </row>
    <row r="133" spans="1:6">
      <c r="A133" t="s">
        <v>72</v>
      </c>
      <c r="F133" s="259">
        <v>13.35</v>
      </c>
    </row>
    <row r="134" spans="1:6">
      <c r="A134" t="s">
        <v>73</v>
      </c>
      <c r="F134" s="259">
        <v>15.45</v>
      </c>
    </row>
    <row r="135" spans="1:6">
      <c r="A135" t="s">
        <v>74</v>
      </c>
      <c r="F135" s="259">
        <v>21.5</v>
      </c>
    </row>
    <row r="137" spans="1:6">
      <c r="A137" t="s">
        <v>76</v>
      </c>
    </row>
    <row r="138" spans="1:6">
      <c r="A138" t="s">
        <v>25</v>
      </c>
    </row>
    <row r="139" spans="1:6">
      <c r="A139" s="8" t="s">
        <v>71</v>
      </c>
      <c r="F139" s="259">
        <v>29.05</v>
      </c>
    </row>
    <row r="140" spans="1:6">
      <c r="A140" s="8" t="s">
        <v>72</v>
      </c>
      <c r="F140" s="259">
        <v>30.3</v>
      </c>
    </row>
    <row r="141" spans="1:6">
      <c r="A141" s="8" t="s">
        <v>73</v>
      </c>
      <c r="F141" s="259">
        <v>29.45</v>
      </c>
    </row>
    <row r="142" spans="1:6">
      <c r="A142" s="8" t="s">
        <v>74</v>
      </c>
      <c r="F142" s="259">
        <v>32.200000000000003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zoomScaleNormal="100" workbookViewId="0">
      <pane ySplit="8" topLeftCell="A9" activePane="bottomLeft" state="frozen"/>
      <selection pane="bottomLeft" activeCell="E33" sqref="E33"/>
    </sheetView>
  </sheetViews>
  <sheetFormatPr defaultRowHeight="12.5"/>
  <cols>
    <col min="1" max="1" width="20.453125" customWidth="1"/>
    <col min="2" max="2" width="13" bestFit="1" customWidth="1"/>
    <col min="3" max="3" width="19.54296875" customWidth="1"/>
    <col min="4" max="4" width="13" bestFit="1" customWidth="1"/>
    <col min="5" max="5" width="14.81640625" bestFit="1" customWidth="1"/>
    <col min="6" max="6" width="13.7265625" bestFit="1" customWidth="1"/>
    <col min="7" max="7" width="15.26953125" customWidth="1"/>
    <col min="8" max="8" width="14.453125" bestFit="1" customWidth="1"/>
    <col min="9" max="12" width="13" bestFit="1" customWidth="1"/>
  </cols>
  <sheetData>
    <row r="1" spans="1:12">
      <c r="A1" t="s">
        <v>19</v>
      </c>
    </row>
    <row r="2" spans="1:12">
      <c r="A2" t="s">
        <v>347</v>
      </c>
    </row>
    <row r="3" spans="1:12">
      <c r="A3" t="s">
        <v>351</v>
      </c>
    </row>
    <row r="6" spans="1:12">
      <c r="B6" s="1" t="s">
        <v>49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313</v>
      </c>
      <c r="J6" s="243" t="s">
        <v>314</v>
      </c>
      <c r="K6" s="1" t="s">
        <v>315</v>
      </c>
      <c r="L6" s="1" t="s">
        <v>4</v>
      </c>
    </row>
    <row r="7" spans="1:12">
      <c r="B7" s="1" t="s">
        <v>316</v>
      </c>
      <c r="C7" s="1" t="s">
        <v>317</v>
      </c>
      <c r="D7" s="1" t="s">
        <v>318</v>
      </c>
      <c r="E7" s="1" t="s">
        <v>318</v>
      </c>
      <c r="F7" s="1" t="s">
        <v>318</v>
      </c>
      <c r="G7" s="1" t="s">
        <v>318</v>
      </c>
      <c r="H7" s="1" t="s">
        <v>319</v>
      </c>
      <c r="I7" s="1" t="s">
        <v>320</v>
      </c>
      <c r="J7" s="243" t="s">
        <v>321</v>
      </c>
      <c r="K7" s="1" t="s">
        <v>214</v>
      </c>
      <c r="L7" s="1" t="s">
        <v>238</v>
      </c>
    </row>
    <row r="8" spans="1:12">
      <c r="A8" s="2" t="s">
        <v>80</v>
      </c>
      <c r="B8" s="2" t="s">
        <v>7</v>
      </c>
      <c r="C8" s="2" t="s">
        <v>322</v>
      </c>
      <c r="D8" s="2" t="s">
        <v>323</v>
      </c>
      <c r="E8" s="2" t="s">
        <v>324</v>
      </c>
      <c r="F8" s="2" t="s">
        <v>325</v>
      </c>
      <c r="G8" s="2" t="s">
        <v>326</v>
      </c>
      <c r="H8" s="2" t="s">
        <v>327</v>
      </c>
      <c r="I8" s="2" t="s">
        <v>7</v>
      </c>
      <c r="J8" s="2" t="s">
        <v>7</v>
      </c>
      <c r="K8" s="2" t="s">
        <v>7</v>
      </c>
      <c r="L8" s="2" t="s">
        <v>328</v>
      </c>
    </row>
    <row r="9" spans="1:12">
      <c r="A9" s="2"/>
    </row>
    <row r="10" spans="1:12">
      <c r="A10" t="s">
        <v>81</v>
      </c>
      <c r="B10" s="7">
        <v>232588243.94751719</v>
      </c>
      <c r="C10" s="7">
        <v>232096079.7500172</v>
      </c>
      <c r="D10" s="7">
        <v>230312843.66001719</v>
      </c>
      <c r="E10" s="7">
        <v>227657102.49001721</v>
      </c>
      <c r="F10" s="7">
        <v>210856817.59294063</v>
      </c>
      <c r="G10" s="7">
        <v>203676892.81294063</v>
      </c>
      <c r="H10" s="7">
        <v>205174677.66294062</v>
      </c>
      <c r="I10" s="7">
        <v>206635704.76206771</v>
      </c>
      <c r="J10" s="7">
        <v>216575299.46603712</v>
      </c>
      <c r="K10" s="7">
        <v>216084026.19776338</v>
      </c>
      <c r="L10" s="7">
        <v>216084026.19776338</v>
      </c>
    </row>
    <row r="11" spans="1:12">
      <c r="A11" s="230" t="s">
        <v>82</v>
      </c>
      <c r="B11" s="82">
        <v>356909.35183</v>
      </c>
      <c r="C11" s="82">
        <v>356310.84252999997</v>
      </c>
      <c r="D11" s="82">
        <v>353329.91252999991</v>
      </c>
      <c r="E11" s="82">
        <v>348861.61252999993</v>
      </c>
      <c r="F11" s="82">
        <v>323017.55089387589</v>
      </c>
      <c r="G11" s="7">
        <v>311930.2508938759</v>
      </c>
      <c r="H11" s="82">
        <v>314281.32089387591</v>
      </c>
      <c r="I11" s="82">
        <v>314281.32089387591</v>
      </c>
      <c r="J11" s="82">
        <v>331128.88756117865</v>
      </c>
      <c r="K11" s="82">
        <v>323148.99876401492</v>
      </c>
      <c r="L11" s="82">
        <v>323148.99876401492</v>
      </c>
    </row>
    <row r="12" spans="1:12">
      <c r="A12" s="12" t="s">
        <v>329</v>
      </c>
      <c r="B12" s="13">
        <v>7327.81178</v>
      </c>
      <c r="C12" s="13">
        <v>7312.81178</v>
      </c>
      <c r="D12" s="13">
        <v>7259.9817800000001</v>
      </c>
      <c r="E12" s="13">
        <v>7169.3917799999999</v>
      </c>
      <c r="F12" s="13">
        <v>6644.2354914687912</v>
      </c>
      <c r="G12" s="7">
        <v>6412.2954914687916</v>
      </c>
      <c r="H12" s="13">
        <v>6447.3454914687909</v>
      </c>
      <c r="I12" s="13">
        <v>6447.3454914687909</v>
      </c>
      <c r="J12" s="13">
        <v>6447.3454914687909</v>
      </c>
      <c r="K12" s="13">
        <v>7736.7998279339108</v>
      </c>
      <c r="L12" s="13">
        <v>7736.7998279339108</v>
      </c>
    </row>
    <row r="13" spans="1:12">
      <c r="A13" t="s">
        <v>330</v>
      </c>
      <c r="B13" s="7">
        <v>232952481.1111272</v>
      </c>
      <c r="C13" s="7">
        <v>232459703.40432721</v>
      </c>
      <c r="D13" s="7">
        <v>230673433.55432719</v>
      </c>
      <c r="E13" s="7">
        <v>228013133.49432719</v>
      </c>
      <c r="F13" s="7">
        <v>211186479.37932596</v>
      </c>
      <c r="G13" s="245">
        <v>203995235.35932595</v>
      </c>
      <c r="H13" s="7">
        <v>205495406.32932597</v>
      </c>
      <c r="I13" s="7">
        <v>206956433.42845306</v>
      </c>
      <c r="J13" s="7">
        <v>216912875.69908977</v>
      </c>
      <c r="K13" s="7">
        <v>216414911.99635532</v>
      </c>
      <c r="L13" s="7">
        <v>216414911.99635532</v>
      </c>
    </row>
    <row r="15" spans="1:12">
      <c r="A15" t="s">
        <v>83</v>
      </c>
      <c r="B15" s="7">
        <v>8984564.3700000029</v>
      </c>
      <c r="C15" s="7">
        <v>8984564.3700000029</v>
      </c>
      <c r="D15" s="7">
        <v>8946485.4700000025</v>
      </c>
      <c r="E15" s="7">
        <v>8889206.6200000029</v>
      </c>
      <c r="F15" s="7">
        <v>8250127.3704640251</v>
      </c>
      <c r="G15" s="7">
        <v>7966746.9704640247</v>
      </c>
      <c r="H15" s="7">
        <v>7986500.8404640248</v>
      </c>
      <c r="I15" s="7">
        <v>7986500.8404640248</v>
      </c>
      <c r="J15" s="7">
        <v>7986500.8404640248</v>
      </c>
      <c r="K15" s="7">
        <v>8256778.7827643892</v>
      </c>
      <c r="L15" s="7">
        <v>8256778.7827643892</v>
      </c>
    </row>
    <row r="17" spans="1:13">
      <c r="A17" t="s">
        <v>84</v>
      </c>
      <c r="B17" s="7">
        <v>20450344.620039999</v>
      </c>
      <c r="C17" s="7">
        <v>20409667.075689998</v>
      </c>
      <c r="D17" s="7">
        <v>20290714.225689996</v>
      </c>
      <c r="E17" s="7">
        <v>20116026.435689997</v>
      </c>
      <c r="F17" s="7">
        <v>18521478.795293801</v>
      </c>
      <c r="G17" s="7">
        <v>17775000.805293802</v>
      </c>
      <c r="H17" s="7">
        <v>17878243.855293803</v>
      </c>
      <c r="I17" s="7">
        <v>17891643.966696326</v>
      </c>
      <c r="J17" s="7">
        <v>17891643.966696326</v>
      </c>
      <c r="K17" s="7">
        <v>17843630.450050004</v>
      </c>
      <c r="L17" s="7">
        <v>17843630.450050004</v>
      </c>
    </row>
    <row r="18" spans="1:13">
      <c r="A18" t="s">
        <v>109</v>
      </c>
      <c r="B18" s="7">
        <v>40601.808999999994</v>
      </c>
      <c r="C18" s="7">
        <v>40544.208999999995</v>
      </c>
      <c r="D18" s="7">
        <v>40247.818999999996</v>
      </c>
      <c r="E18" s="7">
        <v>39835.108999999997</v>
      </c>
      <c r="F18" s="7">
        <v>36783.496065380197</v>
      </c>
      <c r="G18" s="7">
        <v>35354.1860653802</v>
      </c>
      <c r="H18" s="7">
        <v>35615.076065380199</v>
      </c>
      <c r="I18" s="7">
        <v>35615.076065380199</v>
      </c>
      <c r="J18" s="7">
        <v>35615.076065380199</v>
      </c>
      <c r="K18" s="7">
        <v>35615.078999999998</v>
      </c>
      <c r="L18" s="7">
        <v>35615.078999999998</v>
      </c>
    </row>
    <row r="19" spans="1:13">
      <c r="A19" t="s">
        <v>85</v>
      </c>
      <c r="B19" s="7">
        <v>757275.47142000007</v>
      </c>
      <c r="C19" s="7">
        <v>754639.97142000007</v>
      </c>
      <c r="D19" s="7">
        <v>751248.94142000005</v>
      </c>
      <c r="E19" s="7">
        <v>746021.98142000008</v>
      </c>
      <c r="F19" s="7">
        <v>684975.46039229864</v>
      </c>
      <c r="G19" s="7">
        <v>656326.96039229864</v>
      </c>
      <c r="H19" s="7">
        <v>658980.9103922986</v>
      </c>
      <c r="I19" s="7">
        <v>658980.9103922986</v>
      </c>
      <c r="J19" s="7">
        <v>658980.9103922986</v>
      </c>
      <c r="K19" s="7">
        <v>647496.65680000011</v>
      </c>
      <c r="L19" s="7">
        <v>647496.65680000011</v>
      </c>
    </row>
    <row r="20" spans="1:13">
      <c r="A20" s="12" t="s">
        <v>331</v>
      </c>
      <c r="B20" s="13">
        <v>123506.52944999999</v>
      </c>
      <c r="C20" s="13">
        <v>123205.02104999998</v>
      </c>
      <c r="D20" s="13">
        <v>122551.19104999998</v>
      </c>
      <c r="E20" s="13">
        <v>121612.04104999999</v>
      </c>
      <c r="F20" s="13">
        <v>111667.07803232096</v>
      </c>
      <c r="G20" s="7">
        <v>107068.35803232096</v>
      </c>
      <c r="H20" s="13">
        <v>107610.43803232096</v>
      </c>
      <c r="I20" s="13">
        <v>116703.30465700028</v>
      </c>
      <c r="J20" s="13">
        <v>116703.30465700028</v>
      </c>
      <c r="K20" s="13">
        <v>112707.93542000001</v>
      </c>
      <c r="L20" s="13">
        <v>112707.93542000001</v>
      </c>
    </row>
    <row r="21" spans="1:13">
      <c r="A21" t="s">
        <v>332</v>
      </c>
      <c r="B21" s="7">
        <v>21371728.42991</v>
      </c>
      <c r="C21" s="7">
        <v>21328056.277159996</v>
      </c>
      <c r="D21" s="7">
        <v>21204762.177159995</v>
      </c>
      <c r="E21" s="7">
        <v>21023495.567159995</v>
      </c>
      <c r="F21" s="7">
        <v>19354904.829783805</v>
      </c>
      <c r="G21" s="245">
        <v>18573750.309783801</v>
      </c>
      <c r="H21" s="7">
        <v>18680450.279783804</v>
      </c>
      <c r="I21" s="7">
        <v>18702943.257811006</v>
      </c>
      <c r="J21" s="7">
        <v>18702943.257811006</v>
      </c>
      <c r="K21" s="7">
        <v>18639450.121270005</v>
      </c>
      <c r="L21" s="7">
        <v>18639450.121270005</v>
      </c>
    </row>
    <row r="23" spans="1:13">
      <c r="A23" t="s">
        <v>271</v>
      </c>
      <c r="B23" s="7">
        <v>191030.64313999994</v>
      </c>
      <c r="C23" s="7">
        <v>190880.34313999995</v>
      </c>
      <c r="D23" s="7">
        <v>189401.91313999996</v>
      </c>
      <c r="E23" s="7">
        <v>187388.42313999997</v>
      </c>
      <c r="F23" s="7">
        <v>173423.79499638843</v>
      </c>
      <c r="G23" s="7">
        <v>166754.94499638843</v>
      </c>
      <c r="H23" s="7">
        <v>167899.54499638843</v>
      </c>
      <c r="I23" s="7">
        <v>159464.02157444941</v>
      </c>
      <c r="J23" s="7">
        <v>159464.02157444941</v>
      </c>
      <c r="K23" s="7">
        <v>156139.30997999999</v>
      </c>
      <c r="L23" s="7">
        <v>156139.30997999999</v>
      </c>
      <c r="M23" s="246"/>
    </row>
    <row r="24" spans="1:13">
      <c r="A24" t="s">
        <v>333</v>
      </c>
      <c r="B24" s="7">
        <v>57985585.425170004</v>
      </c>
      <c r="C24" s="7">
        <v>57973657.56182</v>
      </c>
      <c r="D24" s="7">
        <v>57561281.741820008</v>
      </c>
      <c r="E24" s="7">
        <v>56968850.361820005</v>
      </c>
      <c r="F24" s="7">
        <v>52603894.999083452</v>
      </c>
      <c r="G24" s="7">
        <v>50566544.279083453</v>
      </c>
      <c r="H24" s="7">
        <v>50946632.559083454</v>
      </c>
      <c r="I24" s="7">
        <v>51279461.13113939</v>
      </c>
      <c r="J24" s="7">
        <v>51279461.13113939</v>
      </c>
      <c r="K24" s="7">
        <v>51168670.33129999</v>
      </c>
      <c r="L24" s="7">
        <v>51168670.33129999</v>
      </c>
      <c r="M24" s="246"/>
    </row>
    <row r="25" spans="1:13">
      <c r="A25" t="s">
        <v>86</v>
      </c>
      <c r="B25" s="7">
        <v>95051.792349999989</v>
      </c>
      <c r="C25" s="7">
        <v>94970.492349999986</v>
      </c>
      <c r="D25" s="7">
        <v>94239.332349999982</v>
      </c>
      <c r="E25" s="7">
        <v>93143.612349999981</v>
      </c>
      <c r="F25" s="7">
        <v>86069.891062842871</v>
      </c>
      <c r="G25" s="7">
        <v>82811.711062842878</v>
      </c>
      <c r="H25" s="7">
        <v>83375.021062842905</v>
      </c>
      <c r="I25" s="7">
        <v>83375.021062842905</v>
      </c>
      <c r="J25" s="7">
        <v>83375.021062842905</v>
      </c>
      <c r="K25" s="7">
        <v>85070.207340000008</v>
      </c>
      <c r="L25" s="7">
        <v>85070.207340000008</v>
      </c>
      <c r="M25" s="246"/>
    </row>
    <row r="26" spans="1:13">
      <c r="A26" t="s">
        <v>87</v>
      </c>
      <c r="B26" s="7">
        <v>411940.96086999995</v>
      </c>
      <c r="C26" s="7">
        <v>411804.16086999996</v>
      </c>
      <c r="D26" s="7">
        <v>408610.15086999995</v>
      </c>
      <c r="E26" s="7">
        <v>403927.14086999994</v>
      </c>
      <c r="F26" s="7">
        <v>373733.82283895853</v>
      </c>
      <c r="G26" s="7">
        <v>359603.63283895853</v>
      </c>
      <c r="H26" s="7">
        <v>362315.00283895858</v>
      </c>
      <c r="I26" s="7">
        <v>377806.8248729998</v>
      </c>
      <c r="J26" s="7">
        <v>377806.8248729998</v>
      </c>
      <c r="K26" s="7">
        <v>377806.80847000005</v>
      </c>
      <c r="L26" s="7">
        <v>377806.80847000005</v>
      </c>
      <c r="M26" s="246"/>
    </row>
    <row r="27" spans="1:13">
      <c r="A27" t="s">
        <v>88</v>
      </c>
      <c r="B27" s="7">
        <v>1379476.4115500003</v>
      </c>
      <c r="C27" s="7">
        <v>1379330.1615500003</v>
      </c>
      <c r="D27" s="7">
        <v>1366564.7915500002</v>
      </c>
      <c r="E27" s="7">
        <v>1351125.4715500001</v>
      </c>
      <c r="F27" s="7">
        <v>1251271.3193982898</v>
      </c>
      <c r="G27" s="7">
        <v>1205011.3593982898</v>
      </c>
      <c r="H27" s="7">
        <v>1220576.9493982899</v>
      </c>
      <c r="I27" s="7">
        <v>1716045.7817074589</v>
      </c>
      <c r="J27" s="7">
        <v>1716045.7817074589</v>
      </c>
      <c r="K27" s="7">
        <v>1556416.7554800003</v>
      </c>
      <c r="L27" s="7">
        <v>1556416.7554800003</v>
      </c>
      <c r="M27" s="246"/>
    </row>
    <row r="28" spans="1:13">
      <c r="A28" s="12" t="s">
        <v>89</v>
      </c>
      <c r="B28" s="13">
        <v>182703.23283999998</v>
      </c>
      <c r="C28" s="13">
        <v>182689.73283999998</v>
      </c>
      <c r="D28" s="13">
        <v>181500.20283999998</v>
      </c>
      <c r="E28" s="13">
        <v>179658.37284</v>
      </c>
      <c r="F28" s="13">
        <v>166083.0575856939</v>
      </c>
      <c r="G28" s="7">
        <v>159827.56758569391</v>
      </c>
      <c r="H28" s="13">
        <v>160573.7775856939</v>
      </c>
      <c r="I28" s="13">
        <v>219547.48147108246</v>
      </c>
      <c r="J28" s="13">
        <v>219547.48147108246</v>
      </c>
      <c r="K28" s="13">
        <v>159666.94084</v>
      </c>
      <c r="L28" s="13">
        <v>159666.94084</v>
      </c>
      <c r="M28" s="246"/>
    </row>
    <row r="29" spans="1:13">
      <c r="A29" t="s">
        <v>334</v>
      </c>
      <c r="B29" s="7">
        <v>60245788.465920009</v>
      </c>
      <c r="C29" s="7">
        <v>60233332.452569999</v>
      </c>
      <c r="D29" s="7">
        <v>59801598.132570013</v>
      </c>
      <c r="E29" s="7">
        <v>59184093.382570006</v>
      </c>
      <c r="F29" s="7">
        <v>54654476.884965628</v>
      </c>
      <c r="G29" s="245">
        <v>52540553.49496562</v>
      </c>
      <c r="H29" s="7">
        <v>52941372.854965627</v>
      </c>
      <c r="I29" s="7">
        <v>53835700.261828229</v>
      </c>
      <c r="J29" s="7">
        <v>53835700.261828229</v>
      </c>
      <c r="K29" s="7">
        <v>53503770.353409991</v>
      </c>
      <c r="L29" s="7">
        <v>53503770.353409991</v>
      </c>
      <c r="M29" s="246"/>
    </row>
    <row r="30" spans="1:13">
      <c r="M30" s="246"/>
    </row>
    <row r="31" spans="1:13">
      <c r="A31" t="s">
        <v>90</v>
      </c>
      <c r="B31" s="7">
        <v>46350022.795279995</v>
      </c>
      <c r="C31" s="7">
        <v>46348969.791979991</v>
      </c>
      <c r="D31" s="7">
        <v>45958239.731979989</v>
      </c>
      <c r="E31" s="7">
        <v>45415077.861979991</v>
      </c>
      <c r="F31" s="7">
        <v>42054778.355675757</v>
      </c>
      <c r="G31" s="7">
        <v>40487990.565675758</v>
      </c>
      <c r="H31" s="7">
        <v>40842601.37567576</v>
      </c>
      <c r="I31" s="7">
        <v>40232527.895649433</v>
      </c>
      <c r="J31" s="7">
        <v>40232527.895649433</v>
      </c>
      <c r="K31" s="7">
        <v>40742683.802139588</v>
      </c>
      <c r="L31" s="7">
        <v>40742683.802139588</v>
      </c>
      <c r="M31" s="246"/>
    </row>
    <row r="32" spans="1:13">
      <c r="A32" s="15" t="s">
        <v>91</v>
      </c>
      <c r="B32" s="11">
        <v>219778.72766</v>
      </c>
      <c r="C32" s="11">
        <v>219764.32766000001</v>
      </c>
      <c r="D32" s="7">
        <v>218266.09766</v>
      </c>
      <c r="E32" s="7">
        <v>215581.88766000001</v>
      </c>
      <c r="F32" s="7">
        <v>200200.8217975166</v>
      </c>
      <c r="G32" s="7">
        <v>192797.15179751659</v>
      </c>
      <c r="H32" s="7">
        <v>193217.2817975166</v>
      </c>
      <c r="I32" s="7">
        <v>193217.2817975166</v>
      </c>
      <c r="J32" s="7">
        <v>193217.2817975166</v>
      </c>
      <c r="K32" s="7">
        <v>193217.27765999999</v>
      </c>
      <c r="L32" s="7">
        <v>193217.27765999999</v>
      </c>
      <c r="M32" s="246"/>
    </row>
    <row r="33" spans="1:13">
      <c r="A33" s="15" t="s">
        <v>335</v>
      </c>
      <c r="B33" s="11">
        <v>160708.99687999996</v>
      </c>
      <c r="C33" s="11">
        <v>160706.74687999996</v>
      </c>
      <c r="D33" s="7">
        <v>160173.93687999996</v>
      </c>
      <c r="E33" s="7">
        <v>158056.91687999998</v>
      </c>
      <c r="F33" s="7">
        <v>147843.04623413234</v>
      </c>
      <c r="G33" s="7">
        <v>142438.08623413235</v>
      </c>
      <c r="H33" s="7">
        <v>141117.02623413235</v>
      </c>
      <c r="I33" s="7">
        <v>280653.60640673112</v>
      </c>
      <c r="J33" s="7">
        <v>280653.60640673112</v>
      </c>
      <c r="K33" s="7">
        <v>280653.60943999991</v>
      </c>
      <c r="L33" s="7">
        <v>280653.60943999991</v>
      </c>
      <c r="M33" s="246"/>
    </row>
    <row r="34" spans="1:13">
      <c r="A34" s="15" t="s">
        <v>92</v>
      </c>
      <c r="B34" s="11">
        <v>7908538.2513499996</v>
      </c>
      <c r="C34" s="11">
        <v>7908431.5986499991</v>
      </c>
      <c r="D34" s="7">
        <v>7839740.9186499994</v>
      </c>
      <c r="E34" s="7">
        <v>7740846.6386499992</v>
      </c>
      <c r="F34" s="7">
        <v>7191548.4157424681</v>
      </c>
      <c r="G34" s="7">
        <v>6934894.7057424681</v>
      </c>
      <c r="H34" s="7">
        <v>6988328.3057424687</v>
      </c>
      <c r="I34" s="7">
        <v>7209349.060206363</v>
      </c>
      <c r="J34" s="7">
        <v>7209349.060206363</v>
      </c>
      <c r="K34" s="7">
        <v>7451472.8851100001</v>
      </c>
      <c r="L34" s="7">
        <v>7451472.8851100001</v>
      </c>
      <c r="M34" s="246"/>
    </row>
    <row r="35" spans="1:13" s="230" customFormat="1">
      <c r="A35" s="238" t="s">
        <v>93</v>
      </c>
      <c r="B35" s="244">
        <v>2734354.4808500004</v>
      </c>
      <c r="C35" s="244">
        <v>2734321.6308500003</v>
      </c>
      <c r="D35" s="82">
        <v>2702001.1408500001</v>
      </c>
      <c r="E35" s="82">
        <v>2656122.7208500002</v>
      </c>
      <c r="F35" s="82">
        <v>2494534.5313390866</v>
      </c>
      <c r="G35" s="7">
        <v>2416871.9713390865</v>
      </c>
      <c r="H35" s="82">
        <v>2439528.8413390862</v>
      </c>
      <c r="I35" s="82">
        <v>2727610.8927085451</v>
      </c>
      <c r="J35" s="82">
        <v>2727610.8927085451</v>
      </c>
      <c r="K35" s="82">
        <v>2727610.8948500003</v>
      </c>
      <c r="L35" s="82">
        <v>2727610.8948500003</v>
      </c>
      <c r="M35" s="246"/>
    </row>
    <row r="36" spans="1:13">
      <c r="A36" s="203" t="s">
        <v>130</v>
      </c>
      <c r="B36" s="214">
        <v>70589.106979999997</v>
      </c>
      <c r="C36" s="214">
        <v>70585.956979999988</v>
      </c>
      <c r="D36" s="13">
        <v>69997.676979999989</v>
      </c>
      <c r="E36" s="13">
        <v>69237.116979999992</v>
      </c>
      <c r="F36" s="13">
        <v>63994.036672056376</v>
      </c>
      <c r="G36" s="7">
        <v>61633.366672056378</v>
      </c>
      <c r="H36" s="13">
        <v>62266.316672056382</v>
      </c>
      <c r="I36" s="13">
        <v>137105.97013567269</v>
      </c>
      <c r="J36" s="13">
        <v>137105.97013567269</v>
      </c>
      <c r="K36" s="13">
        <v>137105.97698000001</v>
      </c>
      <c r="L36" s="13">
        <v>137105.97698000001</v>
      </c>
      <c r="M36" s="246"/>
    </row>
    <row r="37" spans="1:13">
      <c r="A37" s="15" t="s">
        <v>336</v>
      </c>
      <c r="B37" s="11">
        <v>57443992.359000005</v>
      </c>
      <c r="C37" s="11">
        <v>57442780.052999996</v>
      </c>
      <c r="D37" s="7">
        <v>56948419.502999991</v>
      </c>
      <c r="E37" s="7">
        <v>56254923.142999984</v>
      </c>
      <c r="F37" s="7">
        <v>52152899.207461022</v>
      </c>
      <c r="G37" s="245">
        <v>50236625.847461015</v>
      </c>
      <c r="H37" s="7">
        <v>50667059.147461019</v>
      </c>
      <c r="I37" s="7">
        <v>50780464.706904262</v>
      </c>
      <c r="J37" s="7">
        <v>50780464.706904262</v>
      </c>
      <c r="K37" s="7">
        <v>51532744.446179584</v>
      </c>
      <c r="L37" s="7">
        <v>51532744.446179584</v>
      </c>
      <c r="M37" s="246"/>
    </row>
    <row r="38" spans="1:13">
      <c r="A38" s="15"/>
      <c r="B38" s="15"/>
      <c r="C38" s="15"/>
      <c r="M38" s="246"/>
    </row>
    <row r="39" spans="1:13">
      <c r="A39" s="247" t="s">
        <v>337</v>
      </c>
      <c r="B39" s="11">
        <v>12936551.474809999</v>
      </c>
      <c r="C39" s="11">
        <v>12936261.52196</v>
      </c>
      <c r="D39" s="7">
        <v>12839974.361959999</v>
      </c>
      <c r="E39" s="7">
        <v>12689783.99196</v>
      </c>
      <c r="F39" s="7">
        <v>11773573.633413294</v>
      </c>
      <c r="G39" s="7">
        <v>11331825.763413295</v>
      </c>
      <c r="H39" s="7">
        <v>11405364.763413295</v>
      </c>
      <c r="I39" s="7">
        <v>11415771.626926858</v>
      </c>
      <c r="J39" s="7">
        <v>11415771.626926858</v>
      </c>
      <c r="K39" s="7">
        <v>11374555.028969999</v>
      </c>
      <c r="L39" s="7">
        <v>11374555.028969999</v>
      </c>
      <c r="M39" s="246"/>
    </row>
    <row r="40" spans="1:13">
      <c r="A40" s="248" t="s">
        <v>338</v>
      </c>
      <c r="B40" s="11">
        <v>186672.75039999993</v>
      </c>
      <c r="C40" s="11">
        <v>186670.95039999994</v>
      </c>
      <c r="D40" s="7">
        <v>185132.96039999995</v>
      </c>
      <c r="E40" s="82">
        <v>182583.72039999996</v>
      </c>
      <c r="F40" s="82">
        <v>169960.81305165286</v>
      </c>
      <c r="G40" s="7">
        <v>163885.38305165287</v>
      </c>
      <c r="H40" s="82">
        <v>164921.42305165285</v>
      </c>
      <c r="I40" s="82">
        <v>164921.42305165285</v>
      </c>
      <c r="J40" s="82">
        <v>164921.42305165285</v>
      </c>
      <c r="K40" s="82">
        <v>164921.42039999994</v>
      </c>
      <c r="L40" s="7">
        <v>164921.42039999994</v>
      </c>
      <c r="M40" s="246"/>
    </row>
    <row r="41" spans="1:13">
      <c r="A41" s="247" t="s">
        <v>339</v>
      </c>
      <c r="B41" s="249">
        <v>13123224.225209998</v>
      </c>
      <c r="C41" s="249">
        <v>13122932.47236</v>
      </c>
      <c r="D41" s="249">
        <v>13025107.32236</v>
      </c>
      <c r="E41" s="249">
        <v>12872367.71236</v>
      </c>
      <c r="F41" s="249">
        <v>11943534.446464946</v>
      </c>
      <c r="G41" s="249">
        <v>11495711.146464948</v>
      </c>
      <c r="H41" s="249">
        <v>11570286.186464949</v>
      </c>
      <c r="I41" s="249">
        <v>11580693.049978511</v>
      </c>
      <c r="J41" s="249">
        <v>11580693.049978511</v>
      </c>
      <c r="K41" s="249">
        <v>11539476.449369999</v>
      </c>
      <c r="L41" s="249">
        <v>11539476.449369999</v>
      </c>
      <c r="M41" s="246"/>
    </row>
    <row r="42" spans="1:13">
      <c r="A42" s="15"/>
      <c r="B42" s="15"/>
      <c r="C42" s="15"/>
      <c r="M42" s="246"/>
    </row>
    <row r="43" spans="1:13">
      <c r="A43" s="247" t="s">
        <v>340</v>
      </c>
      <c r="B43" s="11">
        <v>700309.2569599998</v>
      </c>
      <c r="C43" s="11">
        <v>700308.20695999975</v>
      </c>
      <c r="D43" s="7">
        <v>697037.5169599998</v>
      </c>
      <c r="E43" s="7">
        <v>689076.18695999985</v>
      </c>
      <c r="F43" s="7">
        <v>659270.00581956899</v>
      </c>
      <c r="G43" s="7">
        <v>643229.44581956894</v>
      </c>
      <c r="H43" s="7">
        <v>634219.90581956902</v>
      </c>
      <c r="I43" s="7">
        <v>1088478.7533986105</v>
      </c>
      <c r="J43" s="7">
        <v>1088478.7533986105</v>
      </c>
      <c r="K43" s="7">
        <v>0</v>
      </c>
      <c r="L43" s="7">
        <v>0</v>
      </c>
      <c r="M43" s="246"/>
    </row>
    <row r="44" spans="1:13">
      <c r="A44" s="247" t="s">
        <v>341</v>
      </c>
      <c r="B44" s="11">
        <v>5017453.5420000004</v>
      </c>
      <c r="C44" s="11">
        <v>5017452.4920000006</v>
      </c>
      <c r="D44" s="7">
        <v>5000581.1520000007</v>
      </c>
      <c r="E44" s="7">
        <v>4937424.2020000005</v>
      </c>
      <c r="F44" s="7">
        <v>4767367.5600244245</v>
      </c>
      <c r="G44" s="7">
        <v>4666602.2800244242</v>
      </c>
      <c r="H44" s="7">
        <v>4567373.1900244243</v>
      </c>
      <c r="I44" s="7">
        <v>7804075.8761979137</v>
      </c>
      <c r="J44" s="7">
        <v>7804075.8761979137</v>
      </c>
      <c r="K44" s="7">
        <v>7804075.8720000004</v>
      </c>
      <c r="L44" s="7">
        <v>7804075.8720000004</v>
      </c>
      <c r="M44" s="246"/>
    </row>
    <row r="45" spans="1:13">
      <c r="A45" s="247" t="s">
        <v>342</v>
      </c>
      <c r="B45" s="11">
        <v>1390047.3306599997</v>
      </c>
      <c r="C45" s="11">
        <v>1390040.1306599998</v>
      </c>
      <c r="D45" s="7">
        <v>1375009.1006599998</v>
      </c>
      <c r="E45" s="7">
        <v>1364140.7906599997</v>
      </c>
      <c r="F45" s="7">
        <v>1271902.3361721351</v>
      </c>
      <c r="G45" s="7">
        <v>1228433.766172135</v>
      </c>
      <c r="H45" s="7">
        <v>1241031.546172135</v>
      </c>
      <c r="I45" s="7">
        <v>1241031.546172135</v>
      </c>
      <c r="J45" s="7">
        <v>1241031.546172135</v>
      </c>
      <c r="K45" s="7">
        <v>1241031.5506599997</v>
      </c>
      <c r="L45" s="7">
        <v>1241031.5506599997</v>
      </c>
      <c r="M45" s="246"/>
    </row>
    <row r="46" spans="1:13" s="230" customFormat="1">
      <c r="A46" s="247" t="s">
        <v>343</v>
      </c>
      <c r="B46" s="244">
        <v>24959530.596339997</v>
      </c>
      <c r="C46" s="244">
        <v>24959463.542739999</v>
      </c>
      <c r="D46" s="82">
        <v>24668673.862739999</v>
      </c>
      <c r="E46" s="82">
        <v>24461143.41274</v>
      </c>
      <c r="F46" s="82">
        <v>22897914.547440171</v>
      </c>
      <c r="G46" s="7">
        <v>22163458.92744017</v>
      </c>
      <c r="H46" s="82">
        <v>22416345.667440169</v>
      </c>
      <c r="I46" s="82">
        <v>21743926.843955841</v>
      </c>
      <c r="J46" s="82">
        <v>21743926.843955841</v>
      </c>
      <c r="K46" s="82">
        <v>21128351.596339997</v>
      </c>
      <c r="L46" s="82">
        <v>21128351.596339997</v>
      </c>
    </row>
    <row r="47" spans="1:13">
      <c r="A47" s="247" t="s">
        <v>344</v>
      </c>
      <c r="B47" s="11">
        <v>106689509.94180001</v>
      </c>
      <c r="C47" s="11">
        <v>106689462.69180001</v>
      </c>
      <c r="D47" s="7">
        <v>105002991.53180002</v>
      </c>
      <c r="E47" s="7">
        <v>103814505.38180001</v>
      </c>
      <c r="F47" s="7">
        <v>98395003.643333361</v>
      </c>
      <c r="G47" s="7">
        <v>95868292.123333365</v>
      </c>
      <c r="H47" s="7">
        <v>97468354.893333361</v>
      </c>
      <c r="I47" s="7">
        <v>93503758.842296138</v>
      </c>
      <c r="J47" s="7">
        <v>93503758.842296138</v>
      </c>
      <c r="K47" s="7">
        <v>91875016.485399991</v>
      </c>
      <c r="L47" s="7">
        <v>91875016.485399991</v>
      </c>
    </row>
    <row r="48" spans="1:13">
      <c r="A48" s="248" t="s">
        <v>345</v>
      </c>
      <c r="B48" s="214">
        <v>19155015.206</v>
      </c>
      <c r="C48" s="214">
        <v>19155008.606000002</v>
      </c>
      <c r="D48" s="13">
        <v>18835417.926000003</v>
      </c>
      <c r="E48" s="13">
        <v>18610160.266000003</v>
      </c>
      <c r="F48" s="13">
        <v>17695643.674297061</v>
      </c>
      <c r="G48" s="7">
        <v>17265105.244297061</v>
      </c>
      <c r="H48" s="13">
        <v>17543830.87429706</v>
      </c>
      <c r="I48" s="13">
        <v>17014686.479422864</v>
      </c>
      <c r="J48" s="13">
        <v>17014686.479422864</v>
      </c>
      <c r="K48" s="13">
        <v>17014686.483999997</v>
      </c>
      <c r="L48" s="13">
        <v>17014686.483999997</v>
      </c>
    </row>
    <row r="49" spans="1:12">
      <c r="A49" s="181" t="s">
        <v>346</v>
      </c>
      <c r="B49" s="11">
        <v>157911865.87376001</v>
      </c>
      <c r="C49" s="11">
        <v>157911735.67016003</v>
      </c>
      <c r="D49" s="7">
        <v>155579711.09016001</v>
      </c>
      <c r="E49" s="7">
        <v>153876450.24016002</v>
      </c>
      <c r="F49" s="7">
        <v>145687101.76708671</v>
      </c>
      <c r="G49" s="245">
        <v>141835121.78708673</v>
      </c>
      <c r="H49" s="7">
        <v>143871156.07708672</v>
      </c>
      <c r="I49" s="7">
        <v>142395958.34144351</v>
      </c>
      <c r="J49" s="7">
        <v>142395958.34144351</v>
      </c>
      <c r="K49" s="7">
        <v>139063161.98839998</v>
      </c>
      <c r="L49" s="7">
        <v>139063161.98839998</v>
      </c>
    </row>
    <row r="50" spans="1:12">
      <c r="A50" s="15"/>
      <c r="B50" s="11"/>
      <c r="C50" s="11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15" t="s">
        <v>94</v>
      </c>
      <c r="B51" s="11">
        <v>1645930.8199999994</v>
      </c>
      <c r="C51" s="11">
        <v>1645930.8199999994</v>
      </c>
      <c r="D51" s="7">
        <v>1638435.4199999995</v>
      </c>
      <c r="E51" s="7">
        <v>1626730.2199999995</v>
      </c>
      <c r="F51" s="7">
        <v>1498185.0974916103</v>
      </c>
      <c r="G51" s="7">
        <v>1437779.4474916104</v>
      </c>
      <c r="H51" s="7">
        <v>1442125.2974916105</v>
      </c>
      <c r="I51" s="7">
        <v>1442125.2974916105</v>
      </c>
      <c r="J51" s="7">
        <v>1442125.2974916105</v>
      </c>
      <c r="K51" s="7">
        <v>1411867.1873398863</v>
      </c>
      <c r="L51" s="7">
        <v>1411867.1873398863</v>
      </c>
    </row>
    <row r="52" spans="1:12">
      <c r="A52" s="15"/>
      <c r="B52" s="15"/>
      <c r="C52" s="15"/>
    </row>
    <row r="53" spans="1:12">
      <c r="A53" s="15" t="s">
        <v>95</v>
      </c>
      <c r="B53" s="11">
        <v>221404.60049999997</v>
      </c>
      <c r="C53" s="11">
        <v>221386.60049999997</v>
      </c>
      <c r="D53" s="7">
        <v>219417.77049999998</v>
      </c>
      <c r="E53" s="7">
        <v>216715.1605</v>
      </c>
      <c r="F53" s="7">
        <v>200744.14703345989</v>
      </c>
      <c r="G53" s="7">
        <v>193306.8770334599</v>
      </c>
      <c r="H53" s="7">
        <v>194947.08703345989</v>
      </c>
      <c r="I53" s="7">
        <v>194947.08703345989</v>
      </c>
      <c r="J53" s="7">
        <v>194947.08703345989</v>
      </c>
      <c r="K53" s="7">
        <v>194947.09050000002</v>
      </c>
      <c r="L53" s="7">
        <v>194947.09050000002</v>
      </c>
    </row>
    <row r="54" spans="1:12" ht="13" thickBot="1">
      <c r="A54" s="250"/>
      <c r="B54" s="250"/>
      <c r="C54" s="250"/>
      <c r="D54" s="251"/>
      <c r="E54" s="251"/>
      <c r="F54" s="251"/>
      <c r="G54" s="251"/>
      <c r="H54" s="251"/>
      <c r="I54" s="251"/>
      <c r="J54" s="251"/>
      <c r="K54" s="251"/>
      <c r="L54" s="251"/>
    </row>
    <row r="55" spans="1:12">
      <c r="A55" t="s">
        <v>14</v>
      </c>
      <c r="B55" s="7">
        <v>553900980.25542712</v>
      </c>
      <c r="C55" s="7">
        <v>553350422.12007725</v>
      </c>
      <c r="D55" s="7">
        <v>548037370.4400773</v>
      </c>
      <c r="E55" s="7">
        <v>541957115.54007709</v>
      </c>
      <c r="F55" s="7">
        <v>504928453.13007718</v>
      </c>
      <c r="G55" s="7">
        <v>488274831.24007714</v>
      </c>
      <c r="H55" s="7">
        <v>492849304.10007727</v>
      </c>
      <c r="I55" s="7">
        <v>493875766.2714076</v>
      </c>
      <c r="J55" s="7">
        <v>503832208.54204428</v>
      </c>
      <c r="K55" s="7">
        <v>500557108.41558921</v>
      </c>
      <c r="L55" s="7">
        <v>500557108.41558921</v>
      </c>
    </row>
    <row r="56" spans="1:12">
      <c r="A56" s="15"/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>
      <c r="B57" s="7"/>
      <c r="C57" s="252"/>
      <c r="D57" s="252"/>
      <c r="E57" s="252"/>
      <c r="F57" s="252"/>
      <c r="G57" s="252"/>
      <c r="H57" s="252"/>
      <c r="I57" s="252"/>
      <c r="J57" s="252"/>
      <c r="K57" s="252"/>
      <c r="L57" s="252"/>
    </row>
    <row r="58" spans="1:12">
      <c r="H58" s="20"/>
    </row>
    <row r="59" spans="1:12">
      <c r="H59" s="227"/>
    </row>
    <row r="61" spans="1:12">
      <c r="G61" s="253"/>
      <c r="H61" s="254"/>
      <c r="I61" s="230"/>
      <c r="J61" s="254"/>
      <c r="K61" s="230"/>
      <c r="L61" s="230"/>
    </row>
    <row r="62" spans="1:12">
      <c r="G62" s="253"/>
      <c r="H62" s="254"/>
      <c r="I62" s="230"/>
      <c r="J62" s="254"/>
      <c r="K62" s="230"/>
      <c r="L62" s="230"/>
    </row>
    <row r="63" spans="1:12">
      <c r="G63" s="253"/>
      <c r="H63" s="254"/>
      <c r="I63" s="230"/>
      <c r="J63" s="254"/>
      <c r="K63" s="230"/>
      <c r="L63" s="230"/>
    </row>
    <row r="64" spans="1:12">
      <c r="G64" s="253"/>
      <c r="H64" s="254"/>
      <c r="I64" s="230"/>
      <c r="J64" s="254"/>
      <c r="K64" s="230"/>
      <c r="L64" s="230"/>
    </row>
    <row r="65" spans="7:12">
      <c r="G65" s="253"/>
      <c r="H65" s="254"/>
      <c r="I65" s="230"/>
      <c r="J65" s="254"/>
      <c r="K65" s="230"/>
      <c r="L65" s="230"/>
    </row>
    <row r="66" spans="7:12">
      <c r="G66" s="253"/>
      <c r="H66" s="254"/>
      <c r="I66" s="230"/>
      <c r="J66" s="254"/>
      <c r="K66" s="230"/>
      <c r="L66" s="230"/>
    </row>
    <row r="67" spans="7:12">
      <c r="G67" s="253"/>
      <c r="H67" s="254"/>
      <c r="I67" s="230"/>
      <c r="J67" s="254"/>
      <c r="K67" s="230"/>
      <c r="L67" s="230"/>
    </row>
    <row r="68" spans="7:12">
      <c r="G68" s="253"/>
      <c r="H68" s="254"/>
      <c r="I68" s="230"/>
      <c r="J68" s="254"/>
      <c r="K68" s="230"/>
      <c r="L68" s="230"/>
    </row>
    <row r="69" spans="7:12">
      <c r="G69" s="253"/>
      <c r="H69" s="254"/>
      <c r="I69" s="230"/>
      <c r="J69" s="254"/>
      <c r="K69" s="230"/>
      <c r="L69" s="230"/>
    </row>
    <row r="70" spans="7:12">
      <c r="G70" s="253"/>
      <c r="H70" s="254"/>
      <c r="I70" s="230"/>
      <c r="J70" s="254"/>
      <c r="K70" s="230"/>
      <c r="L70" s="230"/>
    </row>
    <row r="71" spans="7:12">
      <c r="G71" s="253"/>
      <c r="H71" s="254"/>
      <c r="I71" s="230"/>
      <c r="J71" s="254"/>
      <c r="K71" s="230"/>
      <c r="L71" s="230"/>
    </row>
    <row r="72" spans="7:12">
      <c r="G72" s="253"/>
      <c r="H72" s="254"/>
      <c r="I72" s="230"/>
      <c r="J72" s="254"/>
      <c r="K72" s="230"/>
      <c r="L72" s="230"/>
    </row>
    <row r="73" spans="7:12">
      <c r="G73" s="253"/>
      <c r="H73" s="254"/>
      <c r="I73" s="230"/>
      <c r="J73" s="254"/>
      <c r="K73" s="230"/>
      <c r="L73" s="230"/>
    </row>
    <row r="74" spans="7:12">
      <c r="G74" s="253"/>
      <c r="H74" s="254"/>
      <c r="I74" s="230"/>
      <c r="J74" s="254"/>
      <c r="K74" s="230"/>
      <c r="L74" s="230"/>
    </row>
    <row r="75" spans="7:12">
      <c r="G75" s="253"/>
      <c r="H75" s="254"/>
      <c r="I75" s="230"/>
      <c r="J75" s="254"/>
      <c r="K75" s="230"/>
      <c r="L75" s="230"/>
    </row>
    <row r="76" spans="7:12">
      <c r="G76" s="253"/>
      <c r="H76" s="254"/>
      <c r="I76" s="230"/>
      <c r="J76" s="254"/>
      <c r="K76" s="230"/>
      <c r="L76" s="230"/>
    </row>
    <row r="77" spans="7:12">
      <c r="G77" s="253"/>
      <c r="H77" s="254"/>
      <c r="I77" s="230"/>
      <c r="J77" s="254"/>
      <c r="K77" s="230"/>
      <c r="L77" s="230"/>
    </row>
    <row r="78" spans="7:12">
      <c r="G78" s="230"/>
      <c r="H78" s="230"/>
      <c r="I78" s="230"/>
      <c r="J78" s="230"/>
      <c r="K78" s="230"/>
      <c r="L78" s="230"/>
    </row>
    <row r="79" spans="7:12">
      <c r="G79" s="230"/>
      <c r="H79" s="230"/>
      <c r="I79" s="230"/>
      <c r="J79" s="230"/>
      <c r="K79" s="230"/>
      <c r="L79" s="230"/>
    </row>
    <row r="80" spans="7:12">
      <c r="G80" s="230"/>
      <c r="H80" s="230"/>
      <c r="I80" s="230"/>
      <c r="J80" s="230"/>
      <c r="K80" s="230"/>
      <c r="L80" s="230"/>
    </row>
    <row r="81" spans="7:12">
      <c r="G81" s="230"/>
      <c r="H81" s="230"/>
      <c r="I81" s="230"/>
      <c r="J81" s="230"/>
      <c r="K81" s="230"/>
      <c r="L81" s="230"/>
    </row>
    <row r="82" spans="7:12">
      <c r="G82" s="230"/>
      <c r="H82" s="230"/>
      <c r="I82" s="230"/>
      <c r="J82" s="230"/>
      <c r="K82" s="230"/>
      <c r="L82" s="230"/>
    </row>
    <row r="83" spans="7:12">
      <c r="G83" s="230"/>
      <c r="H83" s="230"/>
      <c r="I83" s="230"/>
      <c r="J83" s="230"/>
      <c r="K83" s="230"/>
      <c r="L83" s="230"/>
    </row>
  </sheetData>
  <printOptions horizontalCentered="1"/>
  <pageMargins left="0.5" right="0.5" top="1" bottom="0.5" header="0.5" footer="0.5"/>
  <pageSetup scale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M39"/>
  <sheetViews>
    <sheetView zoomScale="115" zoomScaleNormal="115" workbookViewId="0">
      <selection activeCell="I16" sqref="I16"/>
    </sheetView>
  </sheetViews>
  <sheetFormatPr defaultRowHeight="12.5"/>
  <cols>
    <col min="1" max="1" width="13.7265625" customWidth="1"/>
    <col min="2" max="12" width="16.26953125" customWidth="1"/>
  </cols>
  <sheetData>
    <row r="4" spans="1:13" ht="13" thickBot="1"/>
    <row r="5" spans="1:13">
      <c r="A5" s="324" t="s">
        <v>367</v>
      </c>
      <c r="B5" s="327"/>
      <c r="C5" s="327"/>
      <c r="D5" s="328" t="s">
        <v>368</v>
      </c>
      <c r="E5" s="329"/>
      <c r="F5" s="329"/>
      <c r="G5" s="329"/>
      <c r="H5" s="330"/>
      <c r="I5" s="266"/>
      <c r="J5" s="328" t="s">
        <v>369</v>
      </c>
      <c r="K5" s="329"/>
      <c r="L5" s="330"/>
    </row>
    <row r="6" spans="1:13">
      <c r="A6" s="325"/>
      <c r="B6" s="322" t="s">
        <v>370</v>
      </c>
      <c r="C6" s="322" t="s">
        <v>371</v>
      </c>
      <c r="D6" s="322" t="s">
        <v>372</v>
      </c>
      <c r="E6" s="322" t="s">
        <v>373</v>
      </c>
      <c r="F6" s="267"/>
      <c r="G6" s="267" t="s">
        <v>374</v>
      </c>
      <c r="H6" s="322" t="s">
        <v>375</v>
      </c>
      <c r="I6" s="331" t="s">
        <v>376</v>
      </c>
      <c r="J6" s="321" t="s">
        <v>372</v>
      </c>
      <c r="K6" s="321" t="s">
        <v>377</v>
      </c>
      <c r="L6" s="322" t="s">
        <v>375</v>
      </c>
    </row>
    <row r="7" spans="1:13" ht="13" thickBot="1">
      <c r="A7" s="326"/>
      <c r="B7" s="322"/>
      <c r="C7" s="322"/>
      <c r="D7" s="322"/>
      <c r="E7" s="322"/>
      <c r="F7" s="267" t="s">
        <v>238</v>
      </c>
      <c r="G7" s="267" t="s">
        <v>378</v>
      </c>
      <c r="H7" s="322"/>
      <c r="I7" s="332"/>
      <c r="J7" s="321"/>
      <c r="K7" s="321"/>
      <c r="L7" s="322"/>
    </row>
    <row r="8" spans="1:13">
      <c r="A8" s="268" t="s">
        <v>140</v>
      </c>
      <c r="B8" s="269" t="s">
        <v>140</v>
      </c>
      <c r="C8" s="270">
        <f>SUMMARY!B11+SUMMARY!B13+SUMMARY!B15</f>
        <v>232952481.1111272</v>
      </c>
      <c r="D8" s="271">
        <f>C8+E8</f>
        <v>253039273.9556872</v>
      </c>
      <c r="E8" s="270">
        <f>F8+G8</f>
        <v>20086792.844560005</v>
      </c>
      <c r="F8" s="271">
        <f>SUMMARY!F11+SUMMARY!F13+SUMMARY!F15</f>
        <v>20086198.444560006</v>
      </c>
      <c r="G8" s="271">
        <f>SUMMARY!K11+SUMMARY!K13+SUMMARY!K15+SUMMARY!J11+SUMMARY!J13+SUMMARY!J15</f>
        <v>594.40000000000293</v>
      </c>
      <c r="H8" s="272">
        <f>E8/C8</f>
        <v>8.6226996805317729E-2</v>
      </c>
      <c r="I8" s="271">
        <f>SUMMARY!L11+SUMMARY!L13+SUMMARY!L15</f>
        <v>1734600.4046802588</v>
      </c>
      <c r="J8" s="270">
        <f>+D8+I8</f>
        <v>254773874.36036745</v>
      </c>
      <c r="K8" s="273">
        <f>+J8-C8</f>
        <v>21821393.249240249</v>
      </c>
      <c r="L8" s="274">
        <f t="shared" ref="L8:L19" si="0">K8/C8</f>
        <v>9.36731523320012E-2</v>
      </c>
    </row>
    <row r="9" spans="1:13">
      <c r="A9" s="275" t="s">
        <v>379</v>
      </c>
      <c r="B9" s="269"/>
      <c r="C9" s="270">
        <f>SUMMARY!B23</f>
        <v>123506.52944999999</v>
      </c>
      <c r="D9" s="271">
        <f t="shared" ref="D9:D19" si="1">C9+E9</f>
        <v>138570.01188999997</v>
      </c>
      <c r="E9" s="270">
        <f t="shared" ref="E9:E18" si="2">F9+G9</f>
        <v>15063.482439999992</v>
      </c>
      <c r="F9" s="271">
        <f>SUMMARY!F23</f>
        <v>13218.982439999992</v>
      </c>
      <c r="G9" s="271">
        <f>SUMMARY!K23</f>
        <v>1844.5</v>
      </c>
      <c r="H9" s="272">
        <f t="shared" ref="H9:H10" si="3">E9/C9</f>
        <v>0.1219650694346346</v>
      </c>
      <c r="I9" s="271">
        <f>SUMMARY!L23</f>
        <v>1223.31456543737</v>
      </c>
      <c r="J9" s="270">
        <f>+D9+I9</f>
        <v>139793.32645543735</v>
      </c>
      <c r="K9" s="273">
        <f>+J9-C9</f>
        <v>16286.797005437358</v>
      </c>
      <c r="L9" s="274">
        <f t="shared" si="0"/>
        <v>0.13186992686108029</v>
      </c>
    </row>
    <row r="10" spans="1:13">
      <c r="A10" s="275" t="s">
        <v>380</v>
      </c>
      <c r="B10" s="269"/>
      <c r="C10" s="270">
        <f>SUMMARY!B33</f>
        <v>411940.96086999995</v>
      </c>
      <c r="D10" s="271">
        <f t="shared" si="1"/>
        <v>434221.90538999997</v>
      </c>
      <c r="E10" s="270">
        <f t="shared" si="2"/>
        <v>22280.944520000019</v>
      </c>
      <c r="F10" s="271">
        <f>SUMMARY!F33</f>
        <v>21494.694520000019</v>
      </c>
      <c r="G10" s="271">
        <f>SUMMARY!K33</f>
        <v>786.25</v>
      </c>
      <c r="H10" s="272">
        <f t="shared" si="3"/>
        <v>5.4087713134774729E-2</v>
      </c>
      <c r="I10" s="271">
        <f>SUMMARY!L33</f>
        <v>3373.6721258776206</v>
      </c>
      <c r="J10" s="270">
        <f>+D10+I10</f>
        <v>437595.57751587761</v>
      </c>
      <c r="K10" s="273">
        <f>+J10-C10</f>
        <v>25654.616645877657</v>
      </c>
      <c r="L10" s="274">
        <f t="shared" si="0"/>
        <v>6.227741128655017E-2</v>
      </c>
    </row>
    <row r="11" spans="1:13">
      <c r="A11" s="276" t="s">
        <v>199</v>
      </c>
      <c r="B11" s="269" t="s">
        <v>199</v>
      </c>
      <c r="C11" s="277">
        <f>SUMMARY!B19+SUMMARY!B21+SUMMARY!B25</f>
        <v>21248221.900460001</v>
      </c>
      <c r="D11" s="271">
        <f t="shared" si="1"/>
        <v>22466580.854149997</v>
      </c>
      <c r="E11" s="270">
        <f t="shared" si="2"/>
        <v>1218358.9536899973</v>
      </c>
      <c r="F11" s="278">
        <f>SUMMARY!F19+SUMMARY!F21+SUMMARY!F25</f>
        <v>972697.90368999727</v>
      </c>
      <c r="G11" s="278">
        <f>SUMMARY!K19+SUMMARY!K21+SUMMARY!K25</f>
        <v>245661.05</v>
      </c>
      <c r="H11" s="272">
        <f>E11/C11</f>
        <v>5.733933688181321E-2</v>
      </c>
      <c r="I11" s="278">
        <f>SUMMARY!L19+SUMMARY!L21+SUMMARY!L25</f>
        <v>182959.70547651779</v>
      </c>
      <c r="J11" s="270">
        <f t="shared" ref="J11:J19" si="4">+D11+I11</f>
        <v>22649540.559626516</v>
      </c>
      <c r="K11" s="273">
        <f>+J11-C11</f>
        <v>1401318.6591665149</v>
      </c>
      <c r="L11" s="274">
        <f t="shared" si="0"/>
        <v>6.5949925868205375E-2</v>
      </c>
      <c r="M11" s="279"/>
    </row>
    <row r="12" spans="1:13">
      <c r="A12" s="276" t="s">
        <v>142</v>
      </c>
      <c r="B12" s="269" t="s">
        <v>142</v>
      </c>
      <c r="C12" s="277">
        <f>SUMMARY!B27+SUMMARY!B29+SUMMARY!B31+SUMMARY!B35+SUMMARY!B37</f>
        <v>59833847.505050011</v>
      </c>
      <c r="D12" s="271">
        <f t="shared" si="1"/>
        <v>63294836.683480009</v>
      </c>
      <c r="E12" s="270">
        <f t="shared" si="2"/>
        <v>3460989.1784300017</v>
      </c>
      <c r="F12" s="278">
        <f>SUMMARY!F27+SUMMARY!F29+SUMMARY!F31+SUMMARY!F35+SUMMARY!F37</f>
        <v>3392451.1284300019</v>
      </c>
      <c r="G12" s="278">
        <f>SUMMARY!K27+SUMMARY!K29+SUMMARY!K31+SUMMARY!K35+SUMMARY!K37</f>
        <v>68538.050000000017</v>
      </c>
      <c r="H12" s="272">
        <f>E12/C12</f>
        <v>5.7843333209315888E-2</v>
      </c>
      <c r="I12" s="278">
        <f>SUMMARY!L27+SUMMARY!L29+SUMMARY!L31+SUMMARY!L35+SUMMARY!L37</f>
        <v>497029.2856074383</v>
      </c>
      <c r="J12" s="270">
        <f t="shared" si="4"/>
        <v>63791865.969087444</v>
      </c>
      <c r="K12" s="273">
        <f>+J12-C12</f>
        <v>3958018.4640374333</v>
      </c>
      <c r="L12" s="274">
        <f t="shared" si="0"/>
        <v>6.6150157963740741E-2</v>
      </c>
      <c r="M12" s="279"/>
    </row>
    <row r="13" spans="1:13">
      <c r="A13" s="276" t="s">
        <v>381</v>
      </c>
      <c r="B13" s="269" t="s">
        <v>382</v>
      </c>
      <c r="C13" s="277">
        <f>C12+C11</f>
        <v>81082069.405510008</v>
      </c>
      <c r="D13" s="277">
        <f>D12+D11</f>
        <v>85761417.537630007</v>
      </c>
      <c r="E13" s="277">
        <f>E12+E11</f>
        <v>4679348.1321199993</v>
      </c>
      <c r="F13" s="277">
        <f>F12+F11</f>
        <v>4365149.0321199987</v>
      </c>
      <c r="G13" s="277">
        <f>G12+G11</f>
        <v>314199.09999999998</v>
      </c>
      <c r="H13" s="272">
        <f>E13/C13</f>
        <v>5.7711256834325562E-2</v>
      </c>
      <c r="I13" s="277">
        <f>I12+I11</f>
        <v>679988.99108395609</v>
      </c>
      <c r="J13" s="277">
        <f>J12+J11</f>
        <v>86441406.528713956</v>
      </c>
      <c r="K13" s="277">
        <f>K12+K11</f>
        <v>5359337.1232039481</v>
      </c>
      <c r="L13" s="274">
        <f t="shared" si="0"/>
        <v>6.6097685499375641E-2</v>
      </c>
      <c r="M13" t="s">
        <v>383</v>
      </c>
    </row>
    <row r="14" spans="1:13">
      <c r="A14" s="276" t="s">
        <v>143</v>
      </c>
      <c r="B14" s="269" t="s">
        <v>143</v>
      </c>
      <c r="C14" s="277">
        <f>SUMMARY!B43+SUMMARY!B45+SUMMARY!B47+SUMMARY!B49+SUMMARY!B51+SUMMARY!B53</f>
        <v>57443992.359000005</v>
      </c>
      <c r="D14" s="271">
        <f t="shared" si="1"/>
        <v>60186973.157150008</v>
      </c>
      <c r="E14" s="270">
        <f t="shared" si="2"/>
        <v>2742980.7981500011</v>
      </c>
      <c r="F14" s="278">
        <f>SUMMARY!F43+SUMMARY!F45+SUMMARY!F47+SUMMARY!F49+SUMMARY!F51+SUMMARY!F53</f>
        <v>2736166.3481500009</v>
      </c>
      <c r="G14" s="278">
        <f>SUMMARY!K43+SUMMARY!K45+SUMMARY!K47+SUMMARY!K49+SUMMARY!K51+SUMMARY!K53</f>
        <v>6814.45</v>
      </c>
      <c r="H14" s="272">
        <f t="shared" ref="H14:H19" si="5">E14/C14</f>
        <v>4.7750525085505244E-2</v>
      </c>
      <c r="I14" s="278">
        <f>SUMMARY!L43+SUMMARY!L45+SUMMARY!L47+SUMMARY!L49+SUMMARY!L51+SUMMARY!L53</f>
        <v>446243.79523776984</v>
      </c>
      <c r="J14" s="270">
        <f t="shared" si="4"/>
        <v>60633216.95238778</v>
      </c>
      <c r="K14" s="273">
        <f t="shared" ref="K14:K21" si="6">+J14-C14</f>
        <v>3189224.5933877751</v>
      </c>
      <c r="L14" s="274">
        <f t="shared" si="0"/>
        <v>5.5518853450444501E-2</v>
      </c>
    </row>
    <row r="15" spans="1:13">
      <c r="A15" s="276" t="s">
        <v>384</v>
      </c>
      <c r="B15" s="269" t="s">
        <v>385</v>
      </c>
      <c r="C15" s="277">
        <f>SUMMARY!B39+SUMMARY!B41</f>
        <v>13123224.225209998</v>
      </c>
      <c r="D15" s="271">
        <f t="shared" si="1"/>
        <v>13915905.564029997</v>
      </c>
      <c r="E15" s="270">
        <f t="shared" si="2"/>
        <v>792681.3388199989</v>
      </c>
      <c r="F15" s="278">
        <f>SUMMARY!F39+SUMMARY!F41</f>
        <v>791028.93881999888</v>
      </c>
      <c r="G15" s="278">
        <f>SUMMARY!K39+SUMMARY!K41</f>
        <v>1652.4</v>
      </c>
      <c r="H15" s="272">
        <f t="shared" si="5"/>
        <v>6.0402941016373161E-2</v>
      </c>
      <c r="I15" s="278">
        <f>SUMMARY!L39+SUMMARY!L41</f>
        <v>103617.3350363022</v>
      </c>
      <c r="J15" s="270">
        <f t="shared" si="4"/>
        <v>14019522.899066299</v>
      </c>
      <c r="K15" s="273">
        <f t="shared" si="6"/>
        <v>896298.67385630123</v>
      </c>
      <c r="L15" s="274">
        <f t="shared" si="0"/>
        <v>6.829866338292781E-2</v>
      </c>
      <c r="M15" t="s">
        <v>383</v>
      </c>
    </row>
    <row r="16" spans="1:13">
      <c r="A16" s="276" t="s">
        <v>200</v>
      </c>
      <c r="B16" s="269" t="s">
        <v>200</v>
      </c>
      <c r="C16" s="277">
        <v>157911866</v>
      </c>
      <c r="D16" s="271">
        <f t="shared" si="1"/>
        <v>161447269.55408797</v>
      </c>
      <c r="E16" s="270">
        <f t="shared" si="2"/>
        <v>3535403.5540879657</v>
      </c>
      <c r="F16" s="278">
        <f>SUMMARY!F55+SUMMARY!F57+SUMMARY!F59+SUMMARY!F61</f>
        <v>3534709.9540879657</v>
      </c>
      <c r="G16" s="278">
        <f>SUMMARY!K55+SUMMARY!K57+SUMMARY!K59+SUMMARY!K61</f>
        <v>693.6</v>
      </c>
      <c r="H16" s="272">
        <f t="shared" si="5"/>
        <v>2.2388460371229896E-2</v>
      </c>
      <c r="I16" s="278">
        <f>SUMMARY!L55+SUMMARY!L57+SUMMARY!L59+SUMMARY!L61</f>
        <v>836950.35731799121</v>
      </c>
      <c r="J16" s="270">
        <f t="shared" si="4"/>
        <v>162284219.91140595</v>
      </c>
      <c r="K16" s="273">
        <f t="shared" si="6"/>
        <v>4372353.9114059508</v>
      </c>
      <c r="L16" s="274">
        <f t="shared" si="0"/>
        <v>2.7688570986843703E-2</v>
      </c>
    </row>
    <row r="17" spans="1:13">
      <c r="A17" s="276" t="s">
        <v>153</v>
      </c>
      <c r="B17" s="269" t="s">
        <v>153</v>
      </c>
      <c r="C17" s="277">
        <f>SUMMARY!B65</f>
        <v>221404.60049999997</v>
      </c>
      <c r="D17" s="271">
        <f t="shared" si="1"/>
        <v>226467.18869999997</v>
      </c>
      <c r="E17" s="270">
        <f t="shared" si="2"/>
        <v>5062.5881999999983</v>
      </c>
      <c r="F17" s="278">
        <f>SUMMARY!F65</f>
        <v>4960.5881999999983</v>
      </c>
      <c r="G17" s="278">
        <f>SUMMARY!K65</f>
        <v>102</v>
      </c>
      <c r="H17" s="272">
        <f t="shared" si="5"/>
        <v>2.2865776901505708E-2</v>
      </c>
      <c r="I17" s="278">
        <f>SUMMARY!L65</f>
        <v>1620.1220285993504</v>
      </c>
      <c r="J17" s="270">
        <f t="shared" si="4"/>
        <v>228087.31072859932</v>
      </c>
      <c r="K17" s="273">
        <f t="shared" si="6"/>
        <v>6682.710228599346</v>
      </c>
      <c r="L17" s="274">
        <f t="shared" si="0"/>
        <v>3.0183249189527781E-2</v>
      </c>
    </row>
    <row r="18" spans="1:13">
      <c r="A18" s="276" t="s">
        <v>198</v>
      </c>
      <c r="B18" s="269" t="s">
        <v>198</v>
      </c>
      <c r="C18" s="277">
        <f>SUMMARY!B17</f>
        <v>8984564.3700000029</v>
      </c>
      <c r="D18" s="271">
        <f t="shared" si="1"/>
        <v>9186313.7700000014</v>
      </c>
      <c r="E18" s="270">
        <f t="shared" si="2"/>
        <v>201749.39999999851</v>
      </c>
      <c r="F18" s="278">
        <f>SUMMARY!F17</f>
        <v>201749.39999999851</v>
      </c>
      <c r="G18" s="278">
        <f>SUMMARY!K17</f>
        <v>0</v>
      </c>
      <c r="H18" s="272">
        <f t="shared" si="5"/>
        <v>2.2455112089090463E-2</v>
      </c>
      <c r="I18" s="278">
        <f>SUMMARY!L17</f>
        <v>82079.744167330005</v>
      </c>
      <c r="J18" s="270">
        <f t="shared" si="4"/>
        <v>9268393.5141673312</v>
      </c>
      <c r="K18" s="273">
        <f t="shared" si="6"/>
        <v>283829.14416732825</v>
      </c>
      <c r="L18" s="274">
        <f t="shared" si="0"/>
        <v>3.1590751925051674E-2</v>
      </c>
    </row>
    <row r="19" spans="1:13">
      <c r="A19" s="276" t="s">
        <v>144</v>
      </c>
      <c r="B19" s="269" t="s">
        <v>144</v>
      </c>
      <c r="C19" s="277">
        <f>SUMMARY!B63</f>
        <v>1645930.8199999994</v>
      </c>
      <c r="D19" s="271">
        <f t="shared" si="1"/>
        <v>1682690.9799999993</v>
      </c>
      <c r="E19" s="270">
        <f>F19+G19</f>
        <v>36760.159999999916</v>
      </c>
      <c r="F19" s="278">
        <f>SUMMARY!F63</f>
        <v>36760.159999999916</v>
      </c>
      <c r="G19" s="278">
        <f>SUMMARY!K63</f>
        <v>0</v>
      </c>
      <c r="H19" s="272">
        <f t="shared" si="5"/>
        <v>2.2333964194193732E-2</v>
      </c>
      <c r="I19" s="278">
        <f>SUMMARY!L63</f>
        <v>13751.422398212</v>
      </c>
      <c r="J19" s="270">
        <f t="shared" si="4"/>
        <v>1696442.4023982112</v>
      </c>
      <c r="K19" s="273">
        <f t="shared" si="6"/>
        <v>50511.582398211816</v>
      </c>
      <c r="L19" s="274">
        <f t="shared" si="0"/>
        <v>3.0688763941009278E-2</v>
      </c>
    </row>
    <row r="20" spans="1:13">
      <c r="A20" s="280" t="s">
        <v>386</v>
      </c>
      <c r="B20" s="280" t="s">
        <v>386</v>
      </c>
      <c r="C20" s="271"/>
      <c r="D20" s="271"/>
      <c r="E20" s="271"/>
      <c r="F20" s="271"/>
      <c r="G20" s="271"/>
      <c r="H20" s="272"/>
      <c r="I20" s="281"/>
      <c r="J20" s="271">
        <f t="shared" ref="J20:J21" si="7">+D20-I20</f>
        <v>0</v>
      </c>
      <c r="K20" s="271">
        <f t="shared" si="6"/>
        <v>0</v>
      </c>
      <c r="L20" s="282"/>
    </row>
    <row r="21" spans="1:13">
      <c r="A21" s="276" t="s">
        <v>387</v>
      </c>
      <c r="B21" s="280" t="s">
        <v>387</v>
      </c>
      <c r="C21" s="271"/>
      <c r="D21" s="271"/>
      <c r="E21" s="271"/>
      <c r="F21" s="271"/>
      <c r="G21" s="271"/>
      <c r="H21" s="272"/>
      <c r="I21" s="281"/>
      <c r="J21" s="271">
        <f t="shared" si="7"/>
        <v>0</v>
      </c>
      <c r="K21" s="271">
        <f t="shared" si="6"/>
        <v>0</v>
      </c>
      <c r="L21" s="282"/>
    </row>
    <row r="22" spans="1:13">
      <c r="A22" s="276" t="s">
        <v>388</v>
      </c>
      <c r="B22" s="280" t="s">
        <v>388</v>
      </c>
      <c r="C22" s="283" t="s">
        <v>389</v>
      </c>
      <c r="D22" s="284" t="s">
        <v>389</v>
      </c>
      <c r="E22" s="283" t="s">
        <v>389</v>
      </c>
      <c r="F22" s="283"/>
      <c r="G22" s="283"/>
      <c r="H22" s="283" t="s">
        <v>389</v>
      </c>
      <c r="I22" s="285"/>
      <c r="J22" s="283" t="s">
        <v>389</v>
      </c>
      <c r="K22" s="283" t="s">
        <v>389</v>
      </c>
      <c r="L22" s="283" t="s">
        <v>389</v>
      </c>
    </row>
    <row r="23" spans="1:13" ht="13" thickBot="1">
      <c r="A23" s="286" t="s">
        <v>390</v>
      </c>
      <c r="B23" s="280" t="s">
        <v>390</v>
      </c>
      <c r="C23" s="283" t="s">
        <v>389</v>
      </c>
      <c r="D23" s="284" t="s">
        <v>389</v>
      </c>
      <c r="E23" s="283" t="s">
        <v>389</v>
      </c>
      <c r="F23" s="283"/>
      <c r="G23" s="283"/>
      <c r="H23" s="283" t="s">
        <v>389</v>
      </c>
      <c r="I23" s="285"/>
      <c r="J23" s="283" t="s">
        <v>389</v>
      </c>
      <c r="K23" s="283" t="s">
        <v>389</v>
      </c>
      <c r="L23" s="283" t="s">
        <v>389</v>
      </c>
    </row>
    <row r="24" spans="1:13">
      <c r="C24" s="287"/>
      <c r="E24" s="287"/>
      <c r="F24" s="287"/>
      <c r="G24" s="287"/>
      <c r="H24" s="9">
        <f>SUM(E8:E12,E14:E19)/SUM(C8:C12,C14:C19)</f>
        <v>5.7985315752225014E-2</v>
      </c>
      <c r="I24" s="287"/>
      <c r="K24" s="287"/>
      <c r="L24" s="9">
        <f>SUM(K8:K12,K14:K19)/SUM(C8:C12,C14:C19)</f>
        <v>6.5032512447836602E-2</v>
      </c>
    </row>
    <row r="25" spans="1:13">
      <c r="C25" s="287">
        <f>SUM(C8:C12,C14:C19)</f>
        <v>553900980.38166726</v>
      </c>
      <c r="D25" s="287">
        <f>SUM(D8:D12,D14:D19)</f>
        <v>586019103.62456512</v>
      </c>
      <c r="E25" s="287">
        <f>SUM(E8:E12,E14:E19)</f>
        <v>32118123.242897969</v>
      </c>
      <c r="F25" s="287">
        <f>SUM(F8:F12,F14:F19)</f>
        <v>31791436.542897962</v>
      </c>
      <c r="G25" s="287">
        <f>SUM(G8:G12,G14:G19)</f>
        <v>326686.7</v>
      </c>
      <c r="H25" s="9"/>
      <c r="I25" s="287">
        <f>SUM(I8:I12,I14:I19)</f>
        <v>3903449.1586417342</v>
      </c>
      <c r="J25" s="287">
        <f>SUM(J8:J12,J14:J19)</f>
        <v>589922552.78320682</v>
      </c>
      <c r="K25" s="287">
        <f>SUM(K8:K12,K14:K19)</f>
        <v>36021572.401539676</v>
      </c>
      <c r="L25" s="9"/>
    </row>
    <row r="26" spans="1:13">
      <c r="C26" s="287"/>
      <c r="E26" s="287"/>
      <c r="F26" s="287"/>
      <c r="G26" s="287"/>
      <c r="H26" s="9"/>
      <c r="I26" s="287"/>
      <c r="K26" s="287"/>
      <c r="L26" s="9"/>
    </row>
    <row r="27" spans="1:13">
      <c r="C27" s="287"/>
      <c r="E27" s="287"/>
      <c r="F27" s="287"/>
      <c r="G27" s="287">
        <f>G9+G11</f>
        <v>247505.55</v>
      </c>
      <c r="H27" s="9" t="s">
        <v>394</v>
      </c>
      <c r="I27" s="287">
        <f>I9+I11</f>
        <v>184183.02004195517</v>
      </c>
      <c r="K27" s="287"/>
      <c r="L27" s="9"/>
    </row>
    <row r="28" spans="1:13">
      <c r="C28" s="287"/>
      <c r="E28" s="287"/>
      <c r="F28" s="287"/>
      <c r="G28" s="287">
        <f>G10+G12</f>
        <v>69324.300000000017</v>
      </c>
      <c r="H28" s="9" t="s">
        <v>395</v>
      </c>
      <c r="I28" s="287">
        <f>I10+I12</f>
        <v>500402.95773331594</v>
      </c>
      <c r="K28" s="287"/>
      <c r="L28" s="9"/>
    </row>
    <row r="29" spans="1:13">
      <c r="A29" s="323" t="s">
        <v>391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</row>
    <row r="30" spans="1:13">
      <c r="A30" s="323" t="s">
        <v>392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</row>
    <row r="31" spans="1:13">
      <c r="A31" s="323"/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</row>
    <row r="32" spans="1:13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</row>
    <row r="33" spans="1:9">
      <c r="A33" t="s">
        <v>393</v>
      </c>
      <c r="C33" s="289"/>
      <c r="D33" s="290"/>
      <c r="E33" s="290"/>
      <c r="F33" s="290"/>
      <c r="G33" s="290"/>
    </row>
    <row r="34" spans="1:9">
      <c r="C34" s="289"/>
      <c r="D34" s="290"/>
      <c r="E34" s="290"/>
      <c r="F34" s="290"/>
      <c r="G34" s="290"/>
    </row>
    <row r="36" spans="1:9">
      <c r="G36" s="20">
        <v>1639317</v>
      </c>
      <c r="H36" s="291">
        <v>0.1</v>
      </c>
      <c r="I36" s="291">
        <f>H36*G36</f>
        <v>163931.70000000001</v>
      </c>
    </row>
    <row r="37" spans="1:9">
      <c r="G37" s="20">
        <v>383278</v>
      </c>
      <c r="H37" s="291">
        <v>1</v>
      </c>
      <c r="I37" s="291">
        <f>H37*G37</f>
        <v>383278</v>
      </c>
    </row>
    <row r="38" spans="1:9">
      <c r="G38" s="227">
        <f>G37+G36</f>
        <v>2022595</v>
      </c>
      <c r="I38" s="227">
        <f>I37+I36</f>
        <v>547209.69999999995</v>
      </c>
    </row>
    <row r="39" spans="1:9">
      <c r="G39" s="201">
        <f>G38*0.25</f>
        <v>505648.75</v>
      </c>
    </row>
  </sheetData>
  <mergeCells count="15">
    <mergeCell ref="J6:J7"/>
    <mergeCell ref="K6:K7"/>
    <mergeCell ref="L6:L7"/>
    <mergeCell ref="A29:M29"/>
    <mergeCell ref="A30:L31"/>
    <mergeCell ref="A5:A7"/>
    <mergeCell ref="B5:C5"/>
    <mergeCell ref="D5:H5"/>
    <mergeCell ref="J5:L5"/>
    <mergeCell ref="B6:B7"/>
    <mergeCell ref="C6:C7"/>
    <mergeCell ref="D6:D7"/>
    <mergeCell ref="E6:E7"/>
    <mergeCell ref="H6:H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X81"/>
  <sheetViews>
    <sheetView tabSelected="1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D3" sqref="D3"/>
    </sheetView>
  </sheetViews>
  <sheetFormatPr defaultColWidth="9.1796875" defaultRowHeight="12.5"/>
  <cols>
    <col min="1" max="1" width="40.26953125" style="47" customWidth="1"/>
    <col min="2" max="2" width="19.81640625" style="47" customWidth="1"/>
    <col min="3" max="3" width="16.81640625" style="47" customWidth="1"/>
    <col min="4" max="4" width="15.26953125" style="181" customWidth="1"/>
    <col min="5" max="5" width="4.1796875" style="181" customWidth="1"/>
    <col min="6" max="6" width="15.81640625" style="47" customWidth="1"/>
    <col min="7" max="8" width="15.26953125" style="47" customWidth="1"/>
    <col min="9" max="9" width="13.1796875" style="47" customWidth="1"/>
    <col min="10" max="10" width="15" style="47" customWidth="1"/>
    <col min="11" max="13" width="15.26953125" style="47" customWidth="1"/>
    <col min="14" max="14" width="15.26953125" style="47" hidden="1" customWidth="1"/>
    <col min="15" max="15" width="3.54296875" style="47" customWidth="1"/>
    <col min="16" max="16" width="11.26953125" style="294" bestFit="1" customWidth="1"/>
    <col min="17" max="17" width="4.26953125" style="47" customWidth="1"/>
    <col min="18" max="18" width="12.26953125" style="47" bestFit="1" customWidth="1"/>
    <col min="19" max="19" width="12.7265625" style="47" bestFit="1" customWidth="1"/>
    <col min="20" max="20" width="11.7265625" style="47" bestFit="1" customWidth="1"/>
    <col min="21" max="22" width="12.26953125" style="47" bestFit="1" customWidth="1"/>
    <col min="23" max="23" width="9.1796875" style="47"/>
    <col min="24" max="24" width="10.7265625" style="47" bestFit="1" customWidth="1"/>
    <col min="25" max="16384" width="9.1796875" style="47"/>
  </cols>
  <sheetData>
    <row r="1" spans="1:22" ht="20.25" customHeight="1">
      <c r="A1" s="293" t="s">
        <v>397</v>
      </c>
    </row>
    <row r="2" spans="1:22" ht="18.649999999999999" customHeight="1">
      <c r="A2" s="47" t="str">
        <f>+RS!A1</f>
        <v>KENTUCKY POWER BILLING ANALYSIS</v>
      </c>
    </row>
    <row r="3" spans="1:22" ht="18.649999999999999" customHeight="1">
      <c r="A3" s="47" t="str">
        <f>+RS!A3</f>
        <v>TEST YEAR ENDED FEBRUARY 28, 2017</v>
      </c>
    </row>
    <row r="4" spans="1:22" ht="18.649999999999999" customHeight="1">
      <c r="A4" s="47" t="s">
        <v>398</v>
      </c>
    </row>
    <row r="6" spans="1:22">
      <c r="G6" s="47" t="s">
        <v>311</v>
      </c>
    </row>
    <row r="7" spans="1:22">
      <c r="B7" s="243" t="s">
        <v>352</v>
      </c>
      <c r="C7" s="243" t="s">
        <v>14</v>
      </c>
      <c r="D7" s="295"/>
      <c r="E7" s="295"/>
      <c r="F7" s="243" t="s">
        <v>238</v>
      </c>
      <c r="G7" s="243" t="s">
        <v>274</v>
      </c>
      <c r="H7" s="243" t="s">
        <v>1</v>
      </c>
      <c r="I7" s="243" t="s">
        <v>349</v>
      </c>
      <c r="L7" s="243" t="s">
        <v>280</v>
      </c>
      <c r="M7" s="243"/>
      <c r="N7" s="243"/>
      <c r="R7" s="243"/>
    </row>
    <row r="8" spans="1:22">
      <c r="B8" s="243" t="s">
        <v>49</v>
      </c>
      <c r="C8" s="295" t="s">
        <v>354</v>
      </c>
      <c r="D8" s="295" t="s">
        <v>2</v>
      </c>
      <c r="E8" s="295"/>
      <c r="F8" s="243" t="s">
        <v>348</v>
      </c>
      <c r="G8" s="243" t="s">
        <v>275</v>
      </c>
      <c r="H8" s="243" t="s">
        <v>303</v>
      </c>
      <c r="I8" s="243" t="s">
        <v>348</v>
      </c>
      <c r="J8" s="296" t="s">
        <v>305</v>
      </c>
      <c r="K8" s="296" t="s">
        <v>280</v>
      </c>
      <c r="L8" s="243" t="s">
        <v>277</v>
      </c>
      <c r="M8" s="243" t="s">
        <v>49</v>
      </c>
      <c r="N8" s="243" t="s">
        <v>49</v>
      </c>
      <c r="P8" s="297" t="s">
        <v>195</v>
      </c>
      <c r="R8" s="243"/>
      <c r="V8" s="243"/>
    </row>
    <row r="9" spans="1:22">
      <c r="A9" s="2" t="s">
        <v>80</v>
      </c>
      <c r="B9" s="2" t="s">
        <v>7</v>
      </c>
      <c r="C9" s="173" t="s">
        <v>278</v>
      </c>
      <c r="D9" s="173" t="s">
        <v>278</v>
      </c>
      <c r="E9" s="173"/>
      <c r="F9" s="2" t="s">
        <v>212</v>
      </c>
      <c r="G9" s="2" t="s">
        <v>276</v>
      </c>
      <c r="H9" s="2" t="s">
        <v>304</v>
      </c>
      <c r="I9" s="2" t="s">
        <v>350</v>
      </c>
      <c r="J9" s="298" t="s">
        <v>216</v>
      </c>
      <c r="K9" s="298" t="s">
        <v>247</v>
      </c>
      <c r="L9" s="2" t="s">
        <v>310</v>
      </c>
      <c r="M9" s="2" t="s">
        <v>212</v>
      </c>
      <c r="N9" s="2" t="s">
        <v>353</v>
      </c>
      <c r="P9" s="84" t="s">
        <v>196</v>
      </c>
      <c r="R9" s="243"/>
      <c r="V9" s="243"/>
    </row>
    <row r="10" spans="1:22">
      <c r="A10" s="2"/>
      <c r="B10" s="2"/>
      <c r="C10" s="181"/>
    </row>
    <row r="11" spans="1:22">
      <c r="A11" s="181" t="s">
        <v>81</v>
      </c>
      <c r="B11" s="211">
        <f>'Current Revenue Summary'!B10</f>
        <v>232588243.94751719</v>
      </c>
      <c r="C11" s="211">
        <f>+RS!D36</f>
        <v>215414931.69638491</v>
      </c>
      <c r="D11" s="211">
        <f>+RS!G36</f>
        <v>235471979.98163491</v>
      </c>
      <c r="E11" s="211"/>
      <c r="F11" s="54">
        <f>+D11-C11</f>
        <v>20057048.285250008</v>
      </c>
      <c r="G11" s="54">
        <f>RS!G38+RS!G40</f>
        <v>490007.6</v>
      </c>
      <c r="H11" s="54">
        <f>RS!D38+RS!D40</f>
        <v>489399</v>
      </c>
      <c r="I11" s="299">
        <f>F11/B11</f>
        <v>8.6234144704991272E-2</v>
      </c>
      <c r="J11" s="54">
        <f>RS!G38-RS!D38</f>
        <v>81566.5</v>
      </c>
      <c r="K11" s="54">
        <f>RS!G40-RS!D40</f>
        <v>-80957.899999999994</v>
      </c>
      <c r="L11" s="300">
        <f>RS!G42</f>
        <v>1731960.9888492003</v>
      </c>
      <c r="M11" s="300">
        <f>SUM(J11:L11,F11)</f>
        <v>21789617.87409921</v>
      </c>
      <c r="N11" s="299">
        <f>M11/B11</f>
        <v>9.3683229660635678E-2</v>
      </c>
      <c r="P11" s="294">
        <f>ROUND(RS!B21/12,0)</f>
        <v>136352</v>
      </c>
      <c r="R11" s="54"/>
      <c r="S11" s="301"/>
      <c r="T11" s="54"/>
      <c r="U11" s="54"/>
    </row>
    <row r="12" spans="1:22">
      <c r="A12" s="181"/>
      <c r="B12" s="181"/>
      <c r="C12" s="211"/>
      <c r="D12" s="211"/>
      <c r="E12" s="211"/>
      <c r="F12" s="54"/>
      <c r="G12" s="54"/>
      <c r="H12" s="54"/>
      <c r="J12" s="54"/>
      <c r="K12" s="54"/>
      <c r="L12" s="300"/>
      <c r="M12" s="300"/>
      <c r="N12" s="299"/>
    </row>
    <row r="13" spans="1:22">
      <c r="A13" s="181" t="s">
        <v>82</v>
      </c>
      <c r="B13" s="211">
        <f>'Current Revenue Summary'!B11</f>
        <v>356909.35183</v>
      </c>
      <c r="C13" s="211">
        <f>+RSLMTOD!D38</f>
        <v>322142.51513452333</v>
      </c>
      <c r="D13" s="211">
        <f>+RSLMTOD!G38</f>
        <v>350562.85336452327</v>
      </c>
      <c r="E13" s="211"/>
      <c r="F13" s="54">
        <f>+D13-C13</f>
        <v>28420.338229999936</v>
      </c>
      <c r="G13" s="54">
        <f>RSLMTOD!G40+RSLMTOD!G42</f>
        <v>569.90000000000009</v>
      </c>
      <c r="H13" s="54">
        <f>RSLMTOD!D40+RSLMTOD!D42</f>
        <v>584.1</v>
      </c>
      <c r="I13" s="299">
        <f>F13/B13</f>
        <v>7.9629009675086543E-2</v>
      </c>
      <c r="J13" s="54">
        <f>RSLMTOD!G40-RSLMTOD!D40</f>
        <v>97.350000000000023</v>
      </c>
      <c r="K13" s="54">
        <f>RSLMTOD!G42-RSLMTOD!D42</f>
        <v>-111.55000000000001</v>
      </c>
      <c r="L13" s="300">
        <f>RSLMTOD!G44</f>
        <v>2577.3144096956012</v>
      </c>
      <c r="M13" s="300">
        <f>SUM(J13:L13,F13)</f>
        <v>30983.452639695537</v>
      </c>
      <c r="N13" s="299">
        <f>M13/B13</f>
        <v>8.6810425338625791E-2</v>
      </c>
      <c r="P13" s="294">
        <v>162</v>
      </c>
      <c r="R13" s="54"/>
      <c r="S13" s="301"/>
      <c r="T13" s="54"/>
      <c r="U13" s="54"/>
      <c r="V13" s="54"/>
    </row>
    <row r="14" spans="1:22">
      <c r="A14" s="181"/>
      <c r="B14" s="181"/>
      <c r="C14" s="211"/>
      <c r="D14" s="211"/>
      <c r="E14" s="211"/>
      <c r="F14" s="54"/>
      <c r="G14" s="54"/>
      <c r="H14" s="54"/>
      <c r="J14" s="54"/>
      <c r="K14" s="54"/>
      <c r="L14" s="300"/>
      <c r="M14" s="300"/>
      <c r="N14" s="299"/>
      <c r="T14" s="54"/>
    </row>
    <row r="15" spans="1:22">
      <c r="A15" s="181" t="s">
        <v>101</v>
      </c>
      <c r="B15" s="211">
        <f>'Current Revenue Summary'!B12</f>
        <v>7327.81178</v>
      </c>
      <c r="C15" s="211">
        <f>RSTOD!D35</f>
        <v>7712.8630293900615</v>
      </c>
      <c r="D15" s="211">
        <f>RSTOD!G35</f>
        <v>8442.6841093900603</v>
      </c>
      <c r="E15" s="211"/>
      <c r="F15" s="54">
        <f>+D15-C15</f>
        <v>729.8210799999988</v>
      </c>
      <c r="G15" s="54">
        <f>RSTOD!G37+RSTOD!G39</f>
        <v>18</v>
      </c>
      <c r="H15" s="54">
        <f>RSTOD!D37+RSTOD!D39</f>
        <v>18</v>
      </c>
      <c r="I15" s="299">
        <f>F15/B15</f>
        <v>9.9596046120059983E-2</v>
      </c>
      <c r="J15" s="54">
        <f>RSTOD!G37-RSTOD!D37</f>
        <v>3</v>
      </c>
      <c r="K15" s="54">
        <f>RSTOD!G39-RSTOD!D39</f>
        <v>-3</v>
      </c>
      <c r="L15" s="300">
        <f>RSTOD!G41</f>
        <v>62.101421362923041</v>
      </c>
      <c r="M15" s="300">
        <f>SUM(J15:L15,F15)</f>
        <v>791.92250136292182</v>
      </c>
      <c r="N15" s="299">
        <f>M15/B15</f>
        <v>0.10807080273600066</v>
      </c>
      <c r="P15" s="294">
        <f>ROUND(RSTOD!B20/12,0)</f>
        <v>5</v>
      </c>
      <c r="R15" s="54"/>
      <c r="S15" s="301"/>
      <c r="T15" s="54"/>
      <c r="U15" s="54"/>
    </row>
    <row r="16" spans="1:22">
      <c r="C16" s="211"/>
      <c r="D16" s="211"/>
      <c r="E16" s="211"/>
      <c r="F16" s="54"/>
      <c r="G16" s="54"/>
      <c r="H16" s="54"/>
      <c r="J16" s="54"/>
      <c r="K16" s="54"/>
      <c r="L16" s="300"/>
      <c r="M16" s="300"/>
      <c r="N16" s="299"/>
      <c r="R16" s="54"/>
    </row>
    <row r="17" spans="1:24">
      <c r="A17" s="47" t="s">
        <v>83</v>
      </c>
      <c r="B17" s="54">
        <f>'Current Revenue Summary'!B15</f>
        <v>8984564.3700000029</v>
      </c>
      <c r="C17" s="211">
        <f>+OL!D68</f>
        <v>8231794.7983330507</v>
      </c>
      <c r="D17" s="211">
        <f>+OL!G68</f>
        <v>8433544.1983330492</v>
      </c>
      <c r="E17" s="211"/>
      <c r="F17" s="54">
        <f>+D17-C17</f>
        <v>201749.39999999851</v>
      </c>
      <c r="G17" s="54"/>
      <c r="H17" s="54"/>
      <c r="I17" s="299">
        <f>F17/B17</f>
        <v>2.2455112089090463E-2</v>
      </c>
      <c r="J17" s="54"/>
      <c r="K17" s="54"/>
      <c r="L17" s="300">
        <f>OL!G70</f>
        <v>82079.744167330005</v>
      </c>
      <c r="M17" s="300">
        <f>SUM(J17:L17,F17)</f>
        <v>283829.14416732849</v>
      </c>
      <c r="N17" s="299">
        <f>M17/B17</f>
        <v>3.1590751925051695E-2</v>
      </c>
      <c r="O17" s="302"/>
      <c r="R17" s="54"/>
      <c r="S17" s="299"/>
      <c r="T17" s="54"/>
      <c r="U17" s="54"/>
      <c r="V17" s="54"/>
      <c r="X17" s="54"/>
    </row>
    <row r="18" spans="1:24">
      <c r="C18" s="211"/>
      <c r="D18" s="211"/>
      <c r="E18" s="211"/>
      <c r="F18" s="54"/>
      <c r="G18" s="54"/>
      <c r="H18" s="54"/>
      <c r="J18" s="54"/>
      <c r="K18" s="54"/>
      <c r="L18" s="300"/>
      <c r="M18" s="300"/>
      <c r="N18" s="299"/>
      <c r="R18" s="54"/>
    </row>
    <row r="19" spans="1:24">
      <c r="A19" s="47" t="s">
        <v>84</v>
      </c>
      <c r="B19" s="54">
        <f>'Current Revenue Summary'!B17</f>
        <v>20450344.620039999</v>
      </c>
      <c r="C19" s="211">
        <f>+SGS!D32+103336</f>
        <v>17886757.326367054</v>
      </c>
      <c r="D19" s="211">
        <f>+SGS!G32</f>
        <v>18889354.845707051</v>
      </c>
      <c r="E19" s="211"/>
      <c r="F19" s="54">
        <f>+D19-C19</f>
        <v>1002597.5193399973</v>
      </c>
      <c r="G19" s="54">
        <f>SGS!G34</f>
        <v>271005</v>
      </c>
      <c r="H19" s="54">
        <f>SGS!D34</f>
        <v>40650.75</v>
      </c>
      <c r="I19" s="299">
        <f>F19/B19</f>
        <v>4.9025947384647856E-2</v>
      </c>
      <c r="J19" s="54"/>
      <c r="K19" s="54">
        <f>G19-H19</f>
        <v>230354.25</v>
      </c>
      <c r="L19" s="300">
        <f>SGS!G36</f>
        <v>176666.69258605133</v>
      </c>
      <c r="M19" s="300">
        <f>SUM(J19:L19,F19)</f>
        <v>1409618.4619260486</v>
      </c>
      <c r="N19" s="299">
        <f>M19/B19</f>
        <v>6.8928836560764595E-2</v>
      </c>
      <c r="O19" s="302"/>
      <c r="P19" s="294">
        <f>ROUND(SGS!B22/12,0)</f>
        <v>22575</v>
      </c>
      <c r="R19" s="54"/>
      <c r="S19" s="301"/>
      <c r="T19" s="54"/>
      <c r="U19" s="54"/>
    </row>
    <row r="20" spans="1:24">
      <c r="C20" s="211"/>
      <c r="D20" s="211"/>
      <c r="E20" s="211"/>
      <c r="F20" s="54"/>
      <c r="G20" s="54"/>
      <c r="H20" s="54"/>
      <c r="I20" s="299"/>
      <c r="J20" s="54"/>
      <c r="K20" s="54"/>
      <c r="L20" s="300"/>
      <c r="M20" s="300"/>
      <c r="N20" s="299"/>
      <c r="S20" s="54"/>
      <c r="T20" s="54"/>
    </row>
    <row r="21" spans="1:24">
      <c r="A21" s="47" t="s">
        <v>109</v>
      </c>
      <c r="B21" s="54">
        <f>'Current Revenue Summary'!B18</f>
        <v>40601.808999999994</v>
      </c>
      <c r="C21" s="211">
        <f>+SGSLMTOD!D31</f>
        <v>35499.858260619876</v>
      </c>
      <c r="D21" s="211">
        <f>+SGSLMTOD!G31</f>
        <v>40083.866210619875</v>
      </c>
      <c r="E21" s="211"/>
      <c r="F21" s="54">
        <f>+D21-C21</f>
        <v>4584.0079499999993</v>
      </c>
      <c r="G21" s="54">
        <f>SGSLMTOD!G33</f>
        <v>384</v>
      </c>
      <c r="H21" s="54">
        <f>SGSLMTOD!D33</f>
        <v>57.599999999999994</v>
      </c>
      <c r="I21" s="299">
        <f>F21/B21</f>
        <v>0.11290156923796178</v>
      </c>
      <c r="J21" s="54"/>
      <c r="K21" s="54">
        <f>G21-H21</f>
        <v>326.39999999999998</v>
      </c>
      <c r="L21" s="300">
        <f>SGSLMTOD!G35</f>
        <v>361.63995843284999</v>
      </c>
      <c r="M21" s="300">
        <f>SUM(J21:L21,F21)</f>
        <v>5272.047908432849</v>
      </c>
      <c r="N21" s="299">
        <f>M21/B21</f>
        <v>0.12984761118483293</v>
      </c>
      <c r="O21" s="302"/>
      <c r="P21" s="294">
        <f>ROUND(SGSLMTOD!B20/12,0)</f>
        <v>32</v>
      </c>
      <c r="R21" s="54"/>
      <c r="S21" s="301"/>
      <c r="T21" s="54"/>
      <c r="U21" s="54"/>
    </row>
    <row r="22" spans="1:24">
      <c r="C22" s="211"/>
      <c r="D22" s="211"/>
      <c r="E22" s="211"/>
      <c r="F22" s="54"/>
      <c r="G22" s="54"/>
      <c r="H22" s="54"/>
      <c r="I22" s="299"/>
      <c r="J22" s="54"/>
      <c r="K22" s="54"/>
      <c r="L22" s="300"/>
      <c r="M22" s="300"/>
      <c r="N22" s="299"/>
      <c r="T22" s="54"/>
      <c r="V22" s="54"/>
    </row>
    <row r="23" spans="1:24">
      <c r="A23" s="47" t="s">
        <v>292</v>
      </c>
      <c r="B23" s="54">
        <f>'Current Revenue Summary'!B20</f>
        <v>123506.52944999999</v>
      </c>
      <c r="C23" s="211">
        <f>+SGSTOD!D31</f>
        <v>112312.12116682253</v>
      </c>
      <c r="D23" s="211">
        <f>+SGSTOD!G31</f>
        <v>125531.10360682252</v>
      </c>
      <c r="E23" s="211"/>
      <c r="F23" s="54">
        <f>+D23-C23</f>
        <v>13218.982439999992</v>
      </c>
      <c r="G23" s="54">
        <f>SGSTOD!G33</f>
        <v>2170</v>
      </c>
      <c r="H23" s="54">
        <f>SGSTOD!D33</f>
        <v>325.5</v>
      </c>
      <c r="I23" s="299">
        <f>F23/B23</f>
        <v>0.10703063634665182</v>
      </c>
      <c r="J23" s="54"/>
      <c r="K23" s="54">
        <f>G23-H23</f>
        <v>1844.5</v>
      </c>
      <c r="L23" s="300">
        <f>SGSTOD!G35</f>
        <v>1223.31456543737</v>
      </c>
      <c r="M23" s="300">
        <f>SUM(J23:L23,F23)</f>
        <v>16286.797005437362</v>
      </c>
      <c r="N23" s="299">
        <f>M23/B23</f>
        <v>0.13186992686108032</v>
      </c>
      <c r="O23" s="302"/>
      <c r="P23" s="294">
        <f>ROUND(SGSTOD!B21/12,0)</f>
        <v>181</v>
      </c>
      <c r="R23" s="54"/>
      <c r="S23" s="301"/>
      <c r="T23" s="54"/>
      <c r="U23" s="54"/>
    </row>
    <row r="24" spans="1:24">
      <c r="C24" s="211"/>
      <c r="D24" s="211"/>
      <c r="E24" s="211"/>
      <c r="F24" s="54"/>
      <c r="G24" s="54"/>
      <c r="H24" s="54"/>
      <c r="J24" s="54"/>
      <c r="K24" s="54"/>
      <c r="L24" s="300"/>
      <c r="M24" s="300"/>
      <c r="N24" s="299"/>
    </row>
    <row r="25" spans="1:24">
      <c r="A25" s="47" t="s">
        <v>85</v>
      </c>
      <c r="B25" s="54">
        <f>'Current Revenue Summary'!B19</f>
        <v>757275.47142000007</v>
      </c>
      <c r="C25" s="211">
        <f>+'SGS-NM'!D33</f>
        <v>645228.47588384233</v>
      </c>
      <c r="D25" s="211">
        <f>+'SGS-NM'!G33</f>
        <v>610744.85228384228</v>
      </c>
      <c r="E25" s="211"/>
      <c r="F25" s="54">
        <f>+D25-C25</f>
        <v>-34483.62360000005</v>
      </c>
      <c r="G25" s="54">
        <f>'SGS-NM'!G35</f>
        <v>17570</v>
      </c>
      <c r="H25" s="54">
        <f>'SGS-NM'!D35</f>
        <v>2589.6</v>
      </c>
      <c r="I25" s="299">
        <f>F25/B25</f>
        <v>-4.5536432779657202E-2</v>
      </c>
      <c r="J25" s="54"/>
      <c r="K25" s="54">
        <f>G25-H25</f>
        <v>14980.4</v>
      </c>
      <c r="L25" s="300">
        <f>'SGS-NM'!G37</f>
        <v>5931.3729320336015</v>
      </c>
      <c r="M25" s="300">
        <f>SUM(J25:L25,F25)</f>
        <v>-13571.85066796645</v>
      </c>
      <c r="N25" s="299">
        <f>M25/B25</f>
        <v>-1.7921946742203709E-2</v>
      </c>
      <c r="O25" s="302"/>
      <c r="P25" s="294">
        <f>ROUND('SGS-NM'!B22/12,0)</f>
        <v>1099</v>
      </c>
      <c r="R25" s="54"/>
      <c r="S25" s="301"/>
      <c r="T25" s="54"/>
      <c r="U25" s="54"/>
    </row>
    <row r="26" spans="1:24">
      <c r="C26" s="211"/>
      <c r="D26" s="211"/>
      <c r="E26" s="211"/>
      <c r="F26" s="54"/>
      <c r="G26" s="54"/>
      <c r="H26" s="54"/>
      <c r="J26" s="54"/>
      <c r="K26" s="54"/>
      <c r="L26" s="300"/>
      <c r="M26" s="300"/>
      <c r="N26" s="299"/>
    </row>
    <row r="27" spans="1:24">
      <c r="A27" s="47" t="s">
        <v>271</v>
      </c>
      <c r="B27" s="54">
        <f>'Current Revenue Summary'!B23</f>
        <v>191030.64313999994</v>
      </c>
      <c r="C27" s="211">
        <f>+'MGS AF'!D30</f>
        <v>155583.42438695015</v>
      </c>
      <c r="D27" s="211">
        <f>+'MGS AF'!G30</f>
        <v>169536.60950695016</v>
      </c>
      <c r="E27" s="211"/>
      <c r="F27" s="54">
        <f>+D27-C27</f>
        <v>13953.185120000009</v>
      </c>
      <c r="G27" s="54">
        <f>'MGS AF'!G33</f>
        <v>986</v>
      </c>
      <c r="H27" s="54">
        <f>'MGS AF'!D33</f>
        <v>147.9</v>
      </c>
      <c r="I27" s="299">
        <f>F27/B27</f>
        <v>7.3041606784384788E-2</v>
      </c>
      <c r="J27" s="54"/>
      <c r="K27" s="54">
        <f>G27-H27</f>
        <v>838.1</v>
      </c>
      <c r="L27" s="300">
        <f>'MGS AF'!G35</f>
        <v>1494.4436527292005</v>
      </c>
      <c r="M27" s="300">
        <f>SUM(J27:L27,F27)</f>
        <v>16285.72877272921</v>
      </c>
      <c r="N27" s="299">
        <f>M27/B27</f>
        <v>8.5251918252685494E-2</v>
      </c>
      <c r="O27" s="302"/>
      <c r="P27" s="294">
        <f>ROUND('MGS AF'!B18/12,0)</f>
        <v>82</v>
      </c>
      <c r="R27" s="54"/>
      <c r="S27" s="301"/>
      <c r="T27" s="54"/>
      <c r="U27" s="54"/>
    </row>
    <row r="28" spans="1:24">
      <c r="C28" s="211"/>
      <c r="D28" s="211"/>
      <c r="E28" s="211"/>
      <c r="F28" s="54"/>
      <c r="G28" s="54"/>
      <c r="H28" s="54"/>
      <c r="J28" s="54"/>
      <c r="K28" s="54"/>
      <c r="L28" s="300"/>
      <c r="M28" s="300"/>
      <c r="N28" s="299"/>
    </row>
    <row r="29" spans="1:24">
      <c r="A29" s="47" t="s">
        <v>108</v>
      </c>
      <c r="B29" s="54">
        <f>'Current Revenue Summary'!B24</f>
        <v>57985585.425170004</v>
      </c>
      <c r="C29" s="211">
        <f>+'MGS-SEC'!D42+285053</f>
        <v>51288013.709910281</v>
      </c>
      <c r="D29" s="211">
        <f>+'MGS-SEC'!G42</f>
        <v>54627745.011790283</v>
      </c>
      <c r="E29" s="211"/>
      <c r="F29" s="54">
        <f>+D29-C29</f>
        <v>3339731.301880002</v>
      </c>
      <c r="G29" s="54">
        <f>'MGS-SEC'!G44</f>
        <v>78086</v>
      </c>
      <c r="H29" s="54">
        <f>'MGS-SEC'!D44</f>
        <v>11712.9</v>
      </c>
      <c r="I29" s="299">
        <f>F29/B29</f>
        <v>5.7595888312447961E-2</v>
      </c>
      <c r="J29" s="54"/>
      <c r="K29" s="54">
        <f>G29-H29</f>
        <v>66373.100000000006</v>
      </c>
      <c r="L29" s="300">
        <f>'MGS-SEC'!G46</f>
        <v>479999.29123260989</v>
      </c>
      <c r="M29" s="300">
        <f>SUM(J29:L29,F29)</f>
        <v>3886103.6931126118</v>
      </c>
      <c r="N29" s="299">
        <f>M29/B29</f>
        <v>6.7018443715250606E-2</v>
      </c>
      <c r="O29" s="302"/>
      <c r="P29" s="294">
        <f>ROUND('MGS-SEC'!B30/12,0)</f>
        <v>6504</v>
      </c>
      <c r="R29" s="54"/>
      <c r="S29" s="301"/>
      <c r="T29" s="54"/>
      <c r="U29" s="54"/>
    </row>
    <row r="30" spans="1:24">
      <c r="C30" s="211"/>
      <c r="D30" s="211"/>
      <c r="E30" s="211"/>
      <c r="F30" s="54"/>
      <c r="G30" s="54"/>
      <c r="H30" s="54"/>
      <c r="J30" s="54"/>
      <c r="K30" s="54"/>
      <c r="L30" s="300"/>
      <c r="M30" s="300"/>
      <c r="N30" s="299"/>
      <c r="T30" s="54"/>
    </row>
    <row r="31" spans="1:24">
      <c r="A31" s="47" t="s">
        <v>86</v>
      </c>
      <c r="B31" s="54">
        <f>'Current Revenue Summary'!B25</f>
        <v>95051.792349999989</v>
      </c>
      <c r="C31" s="211">
        <f>+MGSLMTOD!D30</f>
        <v>84797.809014125509</v>
      </c>
      <c r="D31" s="211">
        <f>+MGSLMTOD!G30</f>
        <v>96133.540604125505</v>
      </c>
      <c r="E31" s="211"/>
      <c r="F31" s="54">
        <f>+D31-C31</f>
        <v>11335.731589999996</v>
      </c>
      <c r="G31" s="54">
        <f>MGSLMTOD!G33</f>
        <v>553</v>
      </c>
      <c r="H31" s="54">
        <f>MGSLMTOD!D33</f>
        <v>82.95</v>
      </c>
      <c r="I31" s="299">
        <f>F31/B31</f>
        <v>0.11925847277302812</v>
      </c>
      <c r="J31" s="54"/>
      <c r="K31" s="54">
        <f>G31-H31</f>
        <v>470.05</v>
      </c>
      <c r="L31" s="300">
        <f>MGSLMTOD!G35</f>
        <v>835.77062236609004</v>
      </c>
      <c r="M31" s="300">
        <f>SUM(J31:L31,F31)</f>
        <v>12641.552212366085</v>
      </c>
      <c r="N31" s="299">
        <f>M31/B31</f>
        <v>0.13299646329463546</v>
      </c>
      <c r="O31" s="302"/>
      <c r="P31" s="294">
        <f>ROUND(MGSLMTOD!B20/12,0)</f>
        <v>46</v>
      </c>
      <c r="R31" s="54"/>
      <c r="S31" s="301"/>
      <c r="T31" s="54"/>
      <c r="U31" s="54"/>
    </row>
    <row r="32" spans="1:24">
      <c r="C32" s="211"/>
      <c r="D32" s="211"/>
      <c r="E32" s="211"/>
      <c r="F32" s="54"/>
      <c r="G32" s="54"/>
      <c r="H32" s="54"/>
      <c r="J32" s="54"/>
      <c r="K32" s="54"/>
      <c r="L32" s="300"/>
      <c r="M32" s="300"/>
      <c r="N32" s="299"/>
      <c r="V32" s="54"/>
    </row>
    <row r="33" spans="1:22">
      <c r="A33" s="47" t="s">
        <v>87</v>
      </c>
      <c r="B33" s="54">
        <f>'Current Revenue Summary'!B26</f>
        <v>411940.96086999995</v>
      </c>
      <c r="C33" s="211">
        <f>+MGSTOD!D30</f>
        <v>376617.33307494898</v>
      </c>
      <c r="D33" s="211">
        <f>+MGSTOD!G30</f>
        <v>398112.027594949</v>
      </c>
      <c r="E33" s="211"/>
      <c r="F33" s="54">
        <f>+D33-C33</f>
        <v>21494.694520000019</v>
      </c>
      <c r="G33" s="54">
        <f>MGSTOD!G32</f>
        <v>925</v>
      </c>
      <c r="H33" s="54">
        <f>MGSTOD!D32</f>
        <v>138.75</v>
      </c>
      <c r="I33" s="299">
        <f>F33/B33</f>
        <v>5.2179065841387158E-2</v>
      </c>
      <c r="J33" s="54"/>
      <c r="K33" s="211">
        <f>G33-H33</f>
        <v>786.25</v>
      </c>
      <c r="L33" s="300">
        <f>MGSTOD!G34</f>
        <v>3373.6721258776206</v>
      </c>
      <c r="M33" s="300">
        <f>SUM(J33:L33,F33)</f>
        <v>25654.616645877639</v>
      </c>
      <c r="N33" s="299">
        <f>M33/B33</f>
        <v>6.2277411286550129E-2</v>
      </c>
      <c r="O33" s="302"/>
      <c r="P33" s="294">
        <f>ROUND(MGSTOD!B20/12,0)</f>
        <v>77</v>
      </c>
      <c r="R33" s="54"/>
      <c r="S33" s="301"/>
      <c r="T33" s="54"/>
      <c r="U33" s="54"/>
    </row>
    <row r="34" spans="1:22">
      <c r="C34" s="211"/>
      <c r="D34" s="211"/>
      <c r="E34" s="211"/>
      <c r="F34" s="54"/>
      <c r="G34" s="54"/>
      <c r="H34" s="54"/>
      <c r="J34" s="54"/>
      <c r="K34" s="54"/>
      <c r="L34" s="300"/>
      <c r="M34" s="300"/>
      <c r="N34" s="299"/>
      <c r="T34" s="54"/>
    </row>
    <row r="35" spans="1:22">
      <c r="A35" s="47" t="s">
        <v>88</v>
      </c>
      <c r="B35" s="54">
        <f>'Current Revenue Summary'!B27</f>
        <v>1379476.4115500003</v>
      </c>
      <c r="C35" s="211">
        <f>+'MGS-PRI'!D43+10726</f>
        <v>1562310.7393301956</v>
      </c>
      <c r="D35" s="211">
        <f>+'MGS-PRI'!G43</f>
        <v>1604999.8427101956</v>
      </c>
      <c r="E35" s="211"/>
      <c r="F35" s="54">
        <f>+D35-C35</f>
        <v>42689.103379999986</v>
      </c>
      <c r="G35" s="54">
        <f>'MGS-PRI'!G45</f>
        <v>936</v>
      </c>
      <c r="H35" s="54">
        <f>'MGS-PRI'!D45</f>
        <v>140.4</v>
      </c>
      <c r="I35" s="299">
        <f>F35/B35</f>
        <v>3.0945874117581953E-2</v>
      </c>
      <c r="J35" s="54"/>
      <c r="K35" s="54">
        <f>G35-H35</f>
        <v>795.6</v>
      </c>
      <c r="L35" s="300">
        <f>'MGS-PRI'!G47</f>
        <v>13497.309774584433</v>
      </c>
      <c r="M35" s="300">
        <f>SUM(J35:L35,F35)</f>
        <v>56982.01315458442</v>
      </c>
      <c r="N35" s="299">
        <f>M35/B35</f>
        <v>4.1306986243105512E-2</v>
      </c>
      <c r="O35" s="302"/>
      <c r="P35" s="294">
        <f>ROUND('MGS-PRI'!B31/12,0)</f>
        <v>78</v>
      </c>
      <c r="R35" s="54"/>
      <c r="S35" s="301"/>
      <c r="T35" s="54"/>
      <c r="U35" s="54"/>
    </row>
    <row r="36" spans="1:22">
      <c r="C36" s="211"/>
      <c r="D36" s="211"/>
      <c r="E36" s="211"/>
      <c r="F36" s="54"/>
      <c r="G36" s="54"/>
      <c r="H36" s="54"/>
      <c r="J36" s="54"/>
      <c r="K36" s="54"/>
      <c r="L36" s="300"/>
      <c r="M36" s="300"/>
      <c r="N36" s="299"/>
    </row>
    <row r="37" spans="1:22">
      <c r="A37" s="47" t="s">
        <v>89</v>
      </c>
      <c r="B37" s="54">
        <f>'Current Revenue Summary'!B28</f>
        <v>182703.23283999998</v>
      </c>
      <c r="C37" s="211">
        <f>+'MGS-SUB'!D43+885</f>
        <v>160047.1492448184</v>
      </c>
      <c r="D37" s="211">
        <f>+'MGS-SUB'!G43</f>
        <v>144788.95570481842</v>
      </c>
      <c r="E37" s="211"/>
      <c r="F37" s="54">
        <f>+D37-C37</f>
        <v>-15258.193539999978</v>
      </c>
      <c r="G37" s="54">
        <f>'MGS-SUB'!G45</f>
        <v>72</v>
      </c>
      <c r="H37" s="54">
        <f>'MGS-SUB'!D45</f>
        <v>10.799999999999999</v>
      </c>
      <c r="I37" s="299">
        <f>F37/B37</f>
        <v>-8.3513538883913163E-2</v>
      </c>
      <c r="J37" s="54"/>
      <c r="K37" s="54">
        <f>G37-H37</f>
        <v>61.2</v>
      </c>
      <c r="L37" s="300">
        <f>'MGS-SUB'!G47</f>
        <v>1202.4703251486503</v>
      </c>
      <c r="M37" s="300">
        <f>SUM(J37:L37,F37)</f>
        <v>-13994.523214851328</v>
      </c>
      <c r="N37" s="299">
        <f>M37/B37</f>
        <v>-7.6597020191245618E-2</v>
      </c>
      <c r="O37" s="302"/>
      <c r="P37" s="213">
        <f>ROUND('MGS-SUB'!B31/12,0)</f>
        <v>6</v>
      </c>
      <c r="R37" s="54"/>
      <c r="S37" s="301"/>
      <c r="T37" s="54"/>
      <c r="U37" s="54"/>
    </row>
    <row r="38" spans="1:22">
      <c r="C38" s="211"/>
      <c r="D38" s="211"/>
      <c r="E38" s="211"/>
      <c r="F38" s="54"/>
      <c r="G38" s="54"/>
      <c r="H38" s="54"/>
      <c r="J38" s="54"/>
      <c r="K38" s="54"/>
      <c r="L38" s="300"/>
      <c r="M38" s="300"/>
      <c r="N38" s="299"/>
      <c r="P38" s="213"/>
    </row>
    <row r="39" spans="1:22">
      <c r="A39" s="47" t="s">
        <v>232</v>
      </c>
      <c r="B39" s="54">
        <f>'Current Revenue Summary'!B39</f>
        <v>12936551.474809999</v>
      </c>
      <c r="C39" s="211">
        <f>'School Sec'!D34</f>
        <v>11340032.943401173</v>
      </c>
      <c r="D39" s="211">
        <f>'School Sec'!G34</f>
        <v>12120187.994741172</v>
      </c>
      <c r="E39" s="211"/>
      <c r="F39" s="54">
        <f>+D39-C39</f>
        <v>780155.05133999884</v>
      </c>
      <c r="G39" s="54">
        <f>'School Sec'!G36</f>
        <v>1932</v>
      </c>
      <c r="H39" s="54">
        <f>'School Sec'!D36</f>
        <v>289.8</v>
      </c>
      <c r="I39" s="299">
        <f>F39/B39</f>
        <v>6.0306261128331894E-2</v>
      </c>
      <c r="J39" s="54"/>
      <c r="K39" s="54">
        <f>G39-H39</f>
        <v>1642.2</v>
      </c>
      <c r="L39" s="300">
        <f>'School Sec'!G38</f>
        <v>102227.21302306876</v>
      </c>
      <c r="M39" s="300">
        <f>SUM(J39:L39,F39)</f>
        <v>884024.46436306764</v>
      </c>
      <c r="N39" s="299">
        <f>M39/B39</f>
        <v>6.8335403456202107E-2</v>
      </c>
      <c r="O39" s="302"/>
      <c r="P39" s="213">
        <f>ROUND('School Sec'!B22/12,0)</f>
        <v>161</v>
      </c>
      <c r="R39" s="54"/>
      <c r="S39" s="301"/>
      <c r="T39" s="54"/>
      <c r="U39" s="54"/>
    </row>
    <row r="40" spans="1:22">
      <c r="C40" s="211"/>
      <c r="D40" s="211"/>
      <c r="E40" s="211"/>
      <c r="F40" s="54"/>
      <c r="G40" s="54"/>
      <c r="H40" s="54"/>
      <c r="J40" s="54"/>
      <c r="K40" s="54"/>
      <c r="L40" s="300"/>
      <c r="M40" s="300"/>
      <c r="N40" s="299"/>
      <c r="P40" s="213"/>
      <c r="R40" s="54"/>
    </row>
    <row r="41" spans="1:22">
      <c r="A41" s="47" t="s">
        <v>233</v>
      </c>
      <c r="B41" s="54">
        <f>'Current Revenue Summary'!B40</f>
        <v>186672.75039999993</v>
      </c>
      <c r="C41" s="211">
        <f>'School Pri'!D34</f>
        <v>164445.06955272023</v>
      </c>
      <c r="D41" s="211">
        <f>'School Pri'!G34</f>
        <v>175318.95703272024</v>
      </c>
      <c r="E41" s="211"/>
      <c r="F41" s="54">
        <f>+D41-C41</f>
        <v>10873.887480000005</v>
      </c>
      <c r="G41" s="54">
        <f>'School Pri'!G36</f>
        <v>12</v>
      </c>
      <c r="H41" s="54">
        <f>'School Pri'!D36</f>
        <v>1.7999999999999998</v>
      </c>
      <c r="I41" s="299">
        <f>F41/B41</f>
        <v>5.8251070157264953E-2</v>
      </c>
      <c r="J41" s="54"/>
      <c r="K41" s="54">
        <f>G41-H41</f>
        <v>10.199999999999999</v>
      </c>
      <c r="L41" s="300">
        <f>'School Pri'!G38</f>
        <v>1390.1220132334399</v>
      </c>
      <c r="M41" s="300">
        <f>SUM(J41:L41,F41)</f>
        <v>12274.209493233444</v>
      </c>
      <c r="N41" s="299">
        <f>M41/B41</f>
        <v>6.5752550744189647E-2</v>
      </c>
      <c r="O41" s="302"/>
      <c r="P41" s="213">
        <f>ROUND('School Pri'!B22/12,0)</f>
        <v>1</v>
      </c>
      <c r="R41" s="54"/>
      <c r="S41" s="301"/>
      <c r="T41" s="54"/>
      <c r="U41" s="54"/>
    </row>
    <row r="42" spans="1:22">
      <c r="C42" s="211"/>
      <c r="D42" s="211"/>
      <c r="E42" s="211"/>
      <c r="F42" s="54"/>
      <c r="G42" s="54"/>
      <c r="H42" s="54"/>
      <c r="J42" s="54"/>
      <c r="K42" s="54"/>
      <c r="L42" s="300"/>
      <c r="M42" s="300"/>
      <c r="N42" s="299"/>
      <c r="P42" s="213"/>
      <c r="T42" s="54"/>
    </row>
    <row r="43" spans="1:22">
      <c r="A43" s="47" t="s">
        <v>90</v>
      </c>
      <c r="B43" s="54">
        <f>'Current Revenue Summary'!B31</f>
        <v>46350022.795279995</v>
      </c>
      <c r="C43" s="211">
        <f>+'LGS-SEC'!D34</f>
        <v>40615944.837633289</v>
      </c>
      <c r="D43" s="211">
        <f>+'LGS-SEC'!G34</f>
        <v>42559836.73547329</v>
      </c>
      <c r="E43" s="211"/>
      <c r="F43" s="54">
        <f>+D43-C43</f>
        <v>1943891.8978400007</v>
      </c>
      <c r="G43" s="54">
        <f>'LGS-SEC'!G36</f>
        <v>6951</v>
      </c>
      <c r="H43" s="54">
        <f>'LGS-SEC'!D36</f>
        <v>1042.6499999999999</v>
      </c>
      <c r="I43" s="299">
        <f>F43/B43</f>
        <v>4.1939394645517949E-2</v>
      </c>
      <c r="J43" s="54"/>
      <c r="K43" s="54">
        <f>G43-H43</f>
        <v>5908.35</v>
      </c>
      <c r="L43" s="300">
        <f>'LGS-SEC'!G38</f>
        <v>354088.0698357927</v>
      </c>
      <c r="M43" s="300">
        <f>SUM(J43:L43,F43)</f>
        <v>2303888.3176757935</v>
      </c>
      <c r="N43" s="299">
        <f>M43/B43</f>
        <v>4.970630387500926E-2</v>
      </c>
      <c r="O43" s="302"/>
      <c r="P43" s="213">
        <f>ROUND('LGS-SEC'!B22/12,0)</f>
        <v>579</v>
      </c>
      <c r="R43" s="54"/>
      <c r="S43" s="301"/>
      <c r="T43" s="54"/>
      <c r="U43" s="54"/>
    </row>
    <row r="44" spans="1:22">
      <c r="C44" s="211"/>
      <c r="D44" s="211"/>
      <c r="E44" s="211"/>
      <c r="F44" s="54"/>
      <c r="G44" s="54"/>
      <c r="H44" s="54"/>
      <c r="I44" s="299"/>
      <c r="J44" s="54"/>
      <c r="K44" s="54"/>
      <c r="L44" s="300"/>
      <c r="M44" s="300"/>
      <c r="N44" s="299"/>
      <c r="P44" s="213"/>
      <c r="R44" s="54"/>
      <c r="S44" s="301"/>
      <c r="T44" s="54"/>
      <c r="U44" s="54"/>
    </row>
    <row r="45" spans="1:22">
      <c r="A45" s="47" t="s">
        <v>272</v>
      </c>
      <c r="B45" s="54">
        <f>'Current Revenue Summary'!B33</f>
        <v>160708.99687999996</v>
      </c>
      <c r="C45" s="211">
        <f>LGSSECTOD!D36</f>
        <v>279902.79319873173</v>
      </c>
      <c r="D45" s="211">
        <f>+LGSSECTOD!G36</f>
        <v>297985.60533873178</v>
      </c>
      <c r="E45" s="211"/>
      <c r="F45" s="54">
        <f>+D45-C45</f>
        <v>18082.812140000053</v>
      </c>
      <c r="G45" s="54">
        <f>LGSSECTOD!G38</f>
        <v>32</v>
      </c>
      <c r="H45" s="54">
        <f>LGSSECTOD!D38</f>
        <v>4.8</v>
      </c>
      <c r="I45" s="299">
        <f>F45/B45</f>
        <v>0.1125189783463233</v>
      </c>
      <c r="J45" s="54"/>
      <c r="K45" s="54">
        <f>G45-H45</f>
        <v>27.2</v>
      </c>
      <c r="L45" s="300">
        <f>LGSSECTOD!G40</f>
        <v>2418.4607609277905</v>
      </c>
      <c r="M45" s="300">
        <f>SUM(J45:L45,F45)</f>
        <v>20528.472900927842</v>
      </c>
      <c r="N45" s="299">
        <f>M45/B45</f>
        <v>0.12773692387773583</v>
      </c>
      <c r="O45" s="302"/>
      <c r="P45" s="213">
        <f>ROUND(LGSSECTOD!B24/12,0)</f>
        <v>3</v>
      </c>
      <c r="R45" s="54"/>
      <c r="S45" s="301"/>
      <c r="V45" s="54"/>
    </row>
    <row r="46" spans="1:22">
      <c r="C46" s="211"/>
      <c r="D46" s="211"/>
      <c r="E46" s="211"/>
      <c r="F46" s="54"/>
      <c r="G46" s="54"/>
      <c r="H46" s="54"/>
      <c r="J46" s="54"/>
      <c r="K46" s="54"/>
      <c r="L46" s="300"/>
      <c r="M46" s="300"/>
      <c r="N46" s="299"/>
      <c r="P46" s="213"/>
      <c r="V46" s="54"/>
    </row>
    <row r="47" spans="1:22">
      <c r="A47" s="47" t="s">
        <v>91</v>
      </c>
      <c r="B47" s="54">
        <f>'Current Revenue Summary'!B32</f>
        <v>219778.72766</v>
      </c>
      <c r="C47" s="211">
        <f>+LGSLMTOD!D30</f>
        <v>192636.48926420158</v>
      </c>
      <c r="D47" s="211">
        <f>+LGSLMTOD!G30</f>
        <v>204702.36346420157</v>
      </c>
      <c r="E47" s="211"/>
      <c r="F47" s="54">
        <f>+D47-C47</f>
        <v>12065.874199999991</v>
      </c>
      <c r="G47" s="54">
        <f>LGSLMTOD!G32</f>
        <v>96</v>
      </c>
      <c r="H47" s="54">
        <f>LGSLMTOD!D32</f>
        <v>14.399999999999999</v>
      </c>
      <c r="I47" s="299">
        <f>F47/B47</f>
        <v>5.4900100334851445E-2</v>
      </c>
      <c r="J47" s="54"/>
      <c r="K47" s="54">
        <f>G47-H47</f>
        <v>81.599999999999994</v>
      </c>
      <c r="L47" s="300">
        <f>LGSLMTOD!G34</f>
        <v>1701.6730855144301</v>
      </c>
      <c r="M47" s="300">
        <f>SUM(J47:L47,F47)</f>
        <v>13849.14728551442</v>
      </c>
      <c r="N47" s="299">
        <f>M47/B47</f>
        <v>6.3014047960725281E-2</v>
      </c>
      <c r="O47" s="302"/>
      <c r="P47" s="213">
        <f>ROUND(LGSLMTOD!B20/12,0)</f>
        <v>8</v>
      </c>
      <c r="R47" s="54"/>
      <c r="S47" s="301"/>
      <c r="T47" s="54"/>
      <c r="U47" s="54"/>
    </row>
    <row r="48" spans="1:22">
      <c r="C48" s="211"/>
      <c r="D48" s="211"/>
      <c r="E48" s="211"/>
      <c r="F48" s="54"/>
      <c r="G48" s="54"/>
      <c r="H48" s="54"/>
      <c r="J48" s="54"/>
      <c r="K48" s="54"/>
      <c r="L48" s="300"/>
      <c r="M48" s="300"/>
      <c r="N48" s="299"/>
      <c r="P48" s="213"/>
    </row>
    <row r="49" spans="1:22">
      <c r="A49" s="47" t="s">
        <v>92</v>
      </c>
      <c r="B49" s="54">
        <f>'Current Revenue Summary'!B34</f>
        <v>7908538.2513499996</v>
      </c>
      <c r="C49" s="211">
        <f>+'LGS-PRI'!D34</f>
        <v>7429413.1000372907</v>
      </c>
      <c r="D49" s="211">
        <f>+'LGS-PRI'!G34</f>
        <v>7945540.6330072908</v>
      </c>
      <c r="E49" s="211"/>
      <c r="F49" s="54">
        <f>+D49-C49</f>
        <v>516127.53297000006</v>
      </c>
      <c r="G49" s="54">
        <f>'LGS-PRI'!G36</f>
        <v>710</v>
      </c>
      <c r="H49" s="54">
        <f>'LGS-PRI'!D36</f>
        <v>106.5</v>
      </c>
      <c r="I49" s="299">
        <f>F49/B49</f>
        <v>6.5262064438001074E-2</v>
      </c>
      <c r="J49" s="54"/>
      <c r="K49" s="54">
        <f>G49-H49</f>
        <v>603.5</v>
      </c>
      <c r="L49" s="300">
        <f>'LGS-PRI'!G38</f>
        <v>65002.952530136288</v>
      </c>
      <c r="M49" s="300">
        <f>SUM(J49:L49,F49)</f>
        <v>581733.98550013639</v>
      </c>
      <c r="N49" s="299">
        <f>M49/B49</f>
        <v>7.3557712817641549E-2</v>
      </c>
      <c r="O49" s="302"/>
      <c r="P49" s="213">
        <f>ROUND('LGS-PRI'!B22/12,0)</f>
        <v>59</v>
      </c>
      <c r="R49" s="54"/>
      <c r="S49" s="301"/>
      <c r="T49" s="54"/>
      <c r="U49" s="54"/>
    </row>
    <row r="50" spans="1:22">
      <c r="C50" s="211"/>
      <c r="D50" s="211"/>
      <c r="E50" s="211"/>
      <c r="F50" s="54"/>
      <c r="G50" s="54"/>
      <c r="H50" s="54"/>
      <c r="J50" s="54"/>
      <c r="K50" s="54"/>
      <c r="L50" s="300"/>
      <c r="M50" s="300"/>
      <c r="N50" s="299"/>
      <c r="T50" s="54"/>
    </row>
    <row r="51" spans="1:22">
      <c r="A51" s="47" t="s">
        <v>93</v>
      </c>
      <c r="B51" s="54">
        <f>'Current Revenue Summary'!B35</f>
        <v>2734354.4808500004</v>
      </c>
      <c r="C51" s="211">
        <f>+'LGS-SUB'!D34</f>
        <v>2720571.2755040657</v>
      </c>
      <c r="D51" s="211">
        <f>+'LGS-SUB'!G34</f>
        <v>2955320.7959040659</v>
      </c>
      <c r="E51" s="211"/>
      <c r="F51" s="54">
        <f>+D51-C51</f>
        <v>234749.52040000027</v>
      </c>
      <c r="G51" s="54">
        <f>'LGS-SUB'!G36</f>
        <v>204</v>
      </c>
      <c r="H51" s="54">
        <f>'LGS-SUB'!D36</f>
        <v>30.599999999999998</v>
      </c>
      <c r="I51" s="299">
        <f>F51/B51</f>
        <v>8.5851897420054377E-2</v>
      </c>
      <c r="J51" s="54"/>
      <c r="K51" s="54">
        <f>G51-H51</f>
        <v>173.4</v>
      </c>
      <c r="L51" s="300">
        <f>'LGS-SUB'!G38</f>
        <v>21899.363670274008</v>
      </c>
      <c r="M51" s="300">
        <f>SUM(J51:L51,F51)</f>
        <v>256822.28407027427</v>
      </c>
      <c r="N51" s="299">
        <f>M51/B51</f>
        <v>9.3924282995831096E-2</v>
      </c>
      <c r="O51" s="302"/>
      <c r="P51" s="294">
        <f>ROUND('LGS-SUB'!B22/12,0)</f>
        <v>17</v>
      </c>
      <c r="R51" s="54"/>
      <c r="S51" s="301"/>
      <c r="T51" s="54"/>
      <c r="U51" s="54"/>
    </row>
    <row r="52" spans="1:22">
      <c r="C52" s="211"/>
      <c r="D52" s="211"/>
      <c r="E52" s="211"/>
      <c r="F52" s="54"/>
      <c r="G52" s="54"/>
      <c r="H52" s="54"/>
      <c r="I52" s="299"/>
      <c r="J52" s="54"/>
      <c r="K52" s="54"/>
      <c r="L52" s="300"/>
      <c r="M52" s="300"/>
      <c r="N52" s="299"/>
    </row>
    <row r="53" spans="1:22">
      <c r="A53" s="47" t="s">
        <v>130</v>
      </c>
      <c r="B53" s="54">
        <f>'Current Revenue Summary'!B36</f>
        <v>70589.106979999997</v>
      </c>
      <c r="C53" s="211">
        <f>+'LGS-TRAN'!D34</f>
        <v>136724.8381878385</v>
      </c>
      <c r="D53" s="211">
        <f>+'LGS-TRAN'!G34</f>
        <v>147973.54878783852</v>
      </c>
      <c r="E53" s="211"/>
      <c r="F53" s="54">
        <f>+D53-C53</f>
        <v>11248.71060000002</v>
      </c>
      <c r="G53" s="54">
        <f>'LGS-TRAN'!G36</f>
        <v>24</v>
      </c>
      <c r="H53" s="54">
        <f>'LGS-TRAN'!D36</f>
        <v>3.5999999999999996</v>
      </c>
      <c r="I53" s="299">
        <f>F53/B53</f>
        <v>0.15935476564659071</v>
      </c>
      <c r="J53" s="54"/>
      <c r="K53" s="54">
        <f>G53-H53</f>
        <v>20.399999999999999</v>
      </c>
      <c r="L53" s="300">
        <f>'LGS-TRAN'!G38</f>
        <v>1133.2753551245401</v>
      </c>
      <c r="M53" s="300">
        <f>SUM(J53:L53,F53)</f>
        <v>12402.38595512456</v>
      </c>
      <c r="N53" s="299">
        <f>M53/B53</f>
        <v>0.17569829801981385</v>
      </c>
      <c r="O53" s="302"/>
      <c r="P53" s="294">
        <f>ROUND('LGS-TRAN'!B22/12,0)</f>
        <v>2</v>
      </c>
      <c r="R53" s="54"/>
      <c r="S53" s="301"/>
      <c r="T53" s="54"/>
      <c r="U53" s="54"/>
    </row>
    <row r="54" spans="1:22">
      <c r="C54" s="211"/>
      <c r="D54" s="211"/>
      <c r="E54" s="211"/>
      <c r="F54" s="54"/>
      <c r="G54" s="54"/>
      <c r="H54" s="54"/>
      <c r="J54" s="54"/>
      <c r="K54" s="54"/>
      <c r="L54" s="300"/>
      <c r="M54" s="300"/>
      <c r="N54" s="299"/>
      <c r="T54" s="54"/>
    </row>
    <row r="55" spans="1:22">
      <c r="A55" s="47" t="s">
        <v>256</v>
      </c>
      <c r="B55" s="54">
        <f>'Current Revenue Summary'!B45</f>
        <v>1390047.3306599997</v>
      </c>
      <c r="C55" s="211">
        <f>'IGS-SEC'!D38</f>
        <v>1237544.4151141145</v>
      </c>
      <c r="D55" s="211">
        <f>'IGS-SEC'!G38</f>
        <v>1325827.0706041148</v>
      </c>
      <c r="E55" s="211"/>
      <c r="F55" s="54">
        <f>+D55-C55</f>
        <v>88282.655490000267</v>
      </c>
      <c r="G55" s="54">
        <f>'IGS-SEC'!G40</f>
        <v>48</v>
      </c>
      <c r="H55" s="54">
        <f>'IGS-SEC'!D40</f>
        <v>7.1999999999999993</v>
      </c>
      <c r="I55" s="299">
        <f>F55/B55</f>
        <v>6.3510539204505598E-2</v>
      </c>
      <c r="J55" s="54"/>
      <c r="K55" s="54">
        <f>G55-H55</f>
        <v>40.799999999999997</v>
      </c>
      <c r="L55" s="300">
        <f>'IGS-SEC'!G42</f>
        <v>10023.065847942204</v>
      </c>
      <c r="M55" s="300">
        <f>SUM(J55:L55,F55)</f>
        <v>98346.521337942468</v>
      </c>
      <c r="N55" s="299">
        <f>M55/B55</f>
        <v>7.0750483935857894E-2</v>
      </c>
      <c r="O55" s="302"/>
      <c r="P55" s="294">
        <f>ROUND('IGS-SEC'!B26/12,0)</f>
        <v>4</v>
      </c>
      <c r="R55" s="54"/>
      <c r="S55" s="299"/>
      <c r="T55" s="54"/>
      <c r="U55" s="54"/>
    </row>
    <row r="56" spans="1:22">
      <c r="C56" s="54"/>
      <c r="D56" s="211"/>
      <c r="E56" s="211"/>
      <c r="F56" s="54"/>
      <c r="G56" s="54"/>
      <c r="H56" s="54"/>
      <c r="J56" s="54"/>
      <c r="K56" s="54"/>
      <c r="L56" s="300"/>
      <c r="M56" s="300"/>
      <c r="N56" s="299"/>
      <c r="R56" s="54"/>
      <c r="S56" s="299"/>
    </row>
    <row r="57" spans="1:22">
      <c r="A57" s="47" t="s">
        <v>257</v>
      </c>
      <c r="B57" s="54">
        <f>'Current Revenue Summary'!B46</f>
        <v>24959530.596339997</v>
      </c>
      <c r="C57" s="54">
        <f>'IGS-PRI'!D38</f>
        <v>21072648.126812011</v>
      </c>
      <c r="D57" s="211">
        <f>'IGS-PRI'!G38</f>
        <v>22664128.542690001</v>
      </c>
      <c r="E57" s="211"/>
      <c r="F57" s="54">
        <f>+D57-C57</f>
        <v>1591480.4158779904</v>
      </c>
      <c r="G57" s="54">
        <f>'IGS-PRI'!G40</f>
        <v>420</v>
      </c>
      <c r="H57" s="54">
        <f>'IGS-PRI'!D40</f>
        <v>63</v>
      </c>
      <c r="I57" s="299">
        <f>F57/B57</f>
        <v>6.3762433741897426E-2</v>
      </c>
      <c r="J57" s="54"/>
      <c r="K57" s="54">
        <f>G57-H57</f>
        <v>357</v>
      </c>
      <c r="L57" s="300">
        <f>'IGS-PRI'!G42</f>
        <v>165375.82450627425</v>
      </c>
      <c r="M57" s="300">
        <f>SUM(J57:L57,F57)</f>
        <v>1757213.2403842646</v>
      </c>
      <c r="N57" s="299">
        <f>M57/B57</f>
        <v>7.0402495495726108E-2</v>
      </c>
      <c r="O57" s="302"/>
      <c r="P57" s="294">
        <f>ROUND('IGS-PRI'!B26/12,0)</f>
        <v>35</v>
      </c>
      <c r="R57" s="54"/>
      <c r="S57" s="299"/>
      <c r="T57" s="54"/>
      <c r="U57" s="54"/>
    </row>
    <row r="58" spans="1:22">
      <c r="C58" s="54"/>
      <c r="D58" s="211"/>
      <c r="E58" s="211"/>
      <c r="F58" s="54"/>
      <c r="G58" s="54"/>
      <c r="H58" s="54"/>
      <c r="J58" s="54"/>
      <c r="K58" s="54"/>
      <c r="L58" s="300"/>
      <c r="M58" s="300"/>
      <c r="N58" s="299"/>
      <c r="T58" s="54"/>
    </row>
    <row r="59" spans="1:22">
      <c r="A59" s="47" t="s">
        <v>258</v>
      </c>
      <c r="B59" s="54">
        <f>'Current Revenue Summary'!B47+'Current Revenue Summary'!B44</f>
        <v>111706963.48380001</v>
      </c>
      <c r="C59" s="54">
        <f>'IGS-SUB'!D40</f>
        <v>99478224.668997616</v>
      </c>
      <c r="D59" s="211">
        <f>+'IGS-SUB'!G40</f>
        <v>101222753.29871759</v>
      </c>
      <c r="E59" s="211"/>
      <c r="F59" s="54">
        <f>+D59-C59</f>
        <v>1744528.6297199726</v>
      </c>
      <c r="G59" s="54">
        <f>'IGS-SUB'!G42</f>
        <v>312</v>
      </c>
      <c r="H59" s="54">
        <f>'IGS-SUB'!D42</f>
        <v>46.8</v>
      </c>
      <c r="I59" s="299">
        <f>F59/B59</f>
        <v>1.5617008781847051E-2</v>
      </c>
      <c r="J59" s="54"/>
      <c r="K59" s="54">
        <f>G59-H59</f>
        <v>265.2</v>
      </c>
      <c r="L59" s="300">
        <f>'IGS-SUB'!G44</f>
        <v>569736.40121232974</v>
      </c>
      <c r="M59" s="300">
        <f>SUM(J59:L59,F59)</f>
        <v>2314530.2309323023</v>
      </c>
      <c r="N59" s="299">
        <f>M59/B59</f>
        <v>2.0719659354700486E-2</v>
      </c>
      <c r="O59" s="302"/>
      <c r="P59" s="294">
        <f>ROUND('IGS-SUB'!B28/12,0)</f>
        <v>26</v>
      </c>
      <c r="R59" s="54"/>
      <c r="S59" s="299"/>
      <c r="T59" s="54"/>
      <c r="U59" s="54"/>
    </row>
    <row r="60" spans="1:22">
      <c r="C60" s="54"/>
      <c r="D60" s="211"/>
      <c r="E60" s="211"/>
      <c r="F60" s="54"/>
      <c r="G60" s="54"/>
      <c r="H60" s="54"/>
      <c r="J60" s="54"/>
      <c r="K60" s="54"/>
      <c r="L60" s="300"/>
      <c r="M60" s="300"/>
      <c r="N60" s="299"/>
      <c r="V60" s="54"/>
    </row>
    <row r="61" spans="1:22">
      <c r="A61" s="47" t="s">
        <v>259</v>
      </c>
      <c r="B61" s="54">
        <f>'Current Revenue Summary'!B48+'Current Revenue Summary'!B43</f>
        <v>19855324.462960001</v>
      </c>
      <c r="C61" s="54">
        <f>+'IGS-TRAN'!D38</f>
        <v>16981225.168015048</v>
      </c>
      <c r="D61" s="211">
        <f>+'IGS-TRAN'!G38</f>
        <v>17091643.42101505</v>
      </c>
      <c r="E61" s="211"/>
      <c r="F61" s="54">
        <f>+D61-C61</f>
        <v>110418.25300000235</v>
      </c>
      <c r="G61" s="54">
        <f>'IGS-TRAN'!G40</f>
        <v>36</v>
      </c>
      <c r="H61" s="54">
        <f>'IGS-TRAN'!D40</f>
        <v>5.3999999999999995</v>
      </c>
      <c r="I61" s="299">
        <f>F61/B61</f>
        <v>5.561140700872806E-3</v>
      </c>
      <c r="J61" s="54"/>
      <c r="K61" s="54">
        <f>G61-H61</f>
        <v>30.6</v>
      </c>
      <c r="L61" s="300">
        <f>'IGS-TRAN'!G42</f>
        <v>91815.065751444999</v>
      </c>
      <c r="M61" s="300">
        <f>SUM(J61:L61,F61)</f>
        <v>202263.91875144735</v>
      </c>
      <c r="N61" s="299">
        <f>M61/B61</f>
        <v>1.0186885594781873E-2</v>
      </c>
      <c r="O61" s="302"/>
      <c r="P61" s="294">
        <f>ROUND('IGS-TRAN'!B26/12,0)</f>
        <v>3</v>
      </c>
      <c r="R61" s="54"/>
      <c r="S61" s="299"/>
      <c r="T61" s="54"/>
      <c r="U61" s="54"/>
    </row>
    <row r="62" spans="1:22">
      <c r="C62" s="54"/>
      <c r="D62" s="211"/>
      <c r="E62" s="211"/>
      <c r="F62" s="54"/>
      <c r="G62" s="54"/>
      <c r="H62" s="54"/>
      <c r="J62" s="54"/>
      <c r="K62" s="54"/>
      <c r="L62" s="300"/>
      <c r="M62" s="300"/>
      <c r="N62" s="299"/>
    </row>
    <row r="63" spans="1:22">
      <c r="A63" s="47" t="s">
        <v>94</v>
      </c>
      <c r="B63" s="54">
        <f>'Current Revenue Summary'!B51</f>
        <v>1645930.8199999994</v>
      </c>
      <c r="C63" s="54">
        <f>+SL!D45</f>
        <v>1407107.8340438304</v>
      </c>
      <c r="D63" s="211">
        <f>+SL!G45</f>
        <v>1443867.9940438303</v>
      </c>
      <c r="E63" s="211"/>
      <c r="F63" s="54">
        <f>+D63-C63</f>
        <v>36760.159999999916</v>
      </c>
      <c r="G63" s="54"/>
      <c r="H63" s="54"/>
      <c r="I63" s="299">
        <f>F63/B63</f>
        <v>2.2333964194193732E-2</v>
      </c>
      <c r="J63" s="54"/>
      <c r="K63" s="54"/>
      <c r="L63" s="300">
        <f>SL!G47</f>
        <v>13751.422398212</v>
      </c>
      <c r="M63" s="300">
        <f>SUM(J63:L63,F63)</f>
        <v>50511.582398211918</v>
      </c>
      <c r="N63" s="299">
        <f>M63/B63</f>
        <v>3.0688763941009341E-2</v>
      </c>
      <c r="O63" s="302"/>
      <c r="P63" s="294">
        <f>ROUND(SL!B35/12,0)</f>
        <v>0</v>
      </c>
      <c r="R63" s="54"/>
      <c r="S63" s="299"/>
      <c r="T63" s="54"/>
      <c r="U63" s="54"/>
      <c r="V63" s="54"/>
    </row>
    <row r="64" spans="1:22">
      <c r="C64" s="54"/>
      <c r="D64" s="211"/>
      <c r="E64" s="211"/>
      <c r="F64" s="54"/>
      <c r="G64" s="54"/>
      <c r="H64" s="54"/>
      <c r="J64" s="54"/>
      <c r="K64" s="54"/>
      <c r="L64" s="300"/>
      <c r="M64" s="300"/>
      <c r="N64" s="303"/>
      <c r="O64" s="304"/>
      <c r="P64" s="305"/>
    </row>
    <row r="65" spans="1:22">
      <c r="A65" s="306" t="s">
        <v>95</v>
      </c>
      <c r="B65" s="307">
        <f>'Current Revenue Summary'!B53</f>
        <v>221404.60049999997</v>
      </c>
      <c r="C65" s="307">
        <f>+MW!D31</f>
        <v>194342.4664362481</v>
      </c>
      <c r="D65" s="308">
        <f>+MW!G31</f>
        <v>199303.0546362481</v>
      </c>
      <c r="E65" s="308"/>
      <c r="F65" s="307">
        <f>+D65-C65</f>
        <v>4960.5881999999983</v>
      </c>
      <c r="G65" s="307">
        <f>MW!G33</f>
        <v>120</v>
      </c>
      <c r="H65" s="307">
        <f>MW!D33</f>
        <v>18</v>
      </c>
      <c r="I65" s="309">
        <f>F65/B65</f>
        <v>2.2405081867302928E-2</v>
      </c>
      <c r="J65" s="307"/>
      <c r="K65" s="307">
        <f>G65-H65</f>
        <v>102</v>
      </c>
      <c r="L65" s="310">
        <f>MW!G35</f>
        <v>1620.1220285993504</v>
      </c>
      <c r="M65" s="310">
        <f>SUM(J65:L65,F65)</f>
        <v>6682.7102285993487</v>
      </c>
      <c r="N65" s="309">
        <f>M65/B65</f>
        <v>3.0183249189527792E-2</v>
      </c>
      <c r="O65" s="311"/>
      <c r="P65" s="312">
        <f>ROUND(MW!B21/12,0)</f>
        <v>10</v>
      </c>
      <c r="R65" s="54"/>
      <c r="S65" s="299"/>
      <c r="T65" s="54"/>
      <c r="U65" s="54"/>
      <c r="V65" s="54"/>
    </row>
    <row r="66" spans="1:22">
      <c r="A66" s="54"/>
      <c r="B66" s="54"/>
      <c r="C66" s="54"/>
      <c r="D66" s="211"/>
      <c r="E66" s="211"/>
      <c r="F66" s="54"/>
      <c r="G66" s="54"/>
      <c r="H66" s="54"/>
      <c r="J66" s="54"/>
      <c r="K66" s="54"/>
      <c r="L66" s="54"/>
      <c r="M66" s="54"/>
      <c r="N66" s="299"/>
    </row>
    <row r="67" spans="1:22" ht="13">
      <c r="A67" s="22" t="s">
        <v>14</v>
      </c>
      <c r="B67" s="24">
        <f>SUM(B11:B66)</f>
        <v>553900980.25542712</v>
      </c>
      <c r="C67" s="24">
        <f>SUM(C11:C66)</f>
        <v>499534513.8457197</v>
      </c>
      <c r="D67" s="241">
        <f>SUM(D11:D66)</f>
        <v>531325950.38861752</v>
      </c>
      <c r="E67" s="241"/>
      <c r="F67" s="24">
        <f>+D67-C67</f>
        <v>31791436.54289782</v>
      </c>
      <c r="G67" s="24">
        <f>SUM(G11:G65)</f>
        <v>874179.5</v>
      </c>
      <c r="H67" s="24">
        <f>SUM(H11:H65)</f>
        <v>547492.80000000016</v>
      </c>
      <c r="I67" s="25">
        <f>F67/B67</f>
        <v>5.7395523164153722E-2</v>
      </c>
      <c r="J67" s="24">
        <f>SUM(J11:J65)</f>
        <v>81666.850000000006</v>
      </c>
      <c r="K67" s="24">
        <f>SUM(K11:K65)</f>
        <v>245019.85000000003</v>
      </c>
      <c r="L67" s="24">
        <f>SUM(L11:L65)</f>
        <v>3903449.1586417351</v>
      </c>
      <c r="M67" s="24">
        <f>SUM(M11:M65)</f>
        <v>36021572.401539713</v>
      </c>
      <c r="N67" s="299">
        <f>M67/B67</f>
        <v>6.5032512462658301E-2</v>
      </c>
      <c r="P67" s="256">
        <f>SUM(P11:P65)</f>
        <v>168107</v>
      </c>
      <c r="R67" s="24"/>
      <c r="S67" s="299"/>
      <c r="T67" s="24"/>
      <c r="U67" s="24"/>
      <c r="V67" s="24"/>
    </row>
    <row r="68" spans="1:22" ht="13">
      <c r="C68" s="313"/>
      <c r="D68" s="213"/>
      <c r="E68" s="213"/>
      <c r="G68" s="54"/>
      <c r="H68" s="24"/>
    </row>
    <row r="69" spans="1:22">
      <c r="C69" s="54"/>
      <c r="D69" s="314"/>
      <c r="E69" s="314"/>
      <c r="F69" s="54"/>
      <c r="G69" s="54"/>
      <c r="H69" s="54"/>
      <c r="I69" s="299"/>
      <c r="J69" s="54"/>
      <c r="K69" s="54"/>
      <c r="L69" s="54"/>
      <c r="M69" s="54"/>
      <c r="N69" s="54"/>
      <c r="U69" s="54"/>
    </row>
    <row r="70" spans="1:22" ht="13">
      <c r="C70" s="54"/>
      <c r="D70" s="242"/>
      <c r="E70" s="242"/>
    </row>
    <row r="71" spans="1:22">
      <c r="D71" s="315"/>
      <c r="E71" s="315"/>
    </row>
    <row r="74" spans="1:22" ht="13">
      <c r="A74" s="22" t="s">
        <v>306</v>
      </c>
      <c r="B74" s="22"/>
      <c r="C74" s="239">
        <v>31780734</v>
      </c>
    </row>
    <row r="75" spans="1:22" ht="13">
      <c r="A75" s="22" t="s">
        <v>309</v>
      </c>
      <c r="B75" s="22"/>
      <c r="C75" s="240">
        <f>F67</f>
        <v>31791436.54289782</v>
      </c>
    </row>
    <row r="76" spans="1:22" ht="13">
      <c r="A76" s="47" t="s">
        <v>96</v>
      </c>
      <c r="C76" s="239">
        <f>C75-C74</f>
        <v>10702.542897820473</v>
      </c>
      <c r="D76" s="187" t="s">
        <v>312</v>
      </c>
      <c r="E76" s="187"/>
    </row>
    <row r="77" spans="1:22">
      <c r="C77" s="294"/>
    </row>
    <row r="78" spans="1:22" hidden="1">
      <c r="A78" s="47" t="s">
        <v>307</v>
      </c>
      <c r="C78" s="54">
        <f>J67</f>
        <v>81666.850000000006</v>
      </c>
      <c r="D78" s="211"/>
      <c r="E78" s="211"/>
    </row>
    <row r="79" spans="1:22" hidden="1">
      <c r="A79" s="47" t="s">
        <v>308</v>
      </c>
      <c r="C79" s="54">
        <f>K67</f>
        <v>245019.85000000003</v>
      </c>
      <c r="D79" s="316"/>
      <c r="E79" s="316"/>
    </row>
    <row r="80" spans="1:22">
      <c r="D80" s="317"/>
      <c r="E80" s="317"/>
    </row>
    <row r="81" spans="4:5">
      <c r="D81" s="211"/>
      <c r="E81" s="211"/>
    </row>
  </sheetData>
  <phoneticPr fontId="0" type="noConversion"/>
  <printOptions horizontalCentered="1"/>
  <pageMargins left="0.75" right="0.75" top="0.75" bottom="0.75" header="0.5" footer="0.5"/>
  <pageSetup scale="39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9"/>
  <sheetViews>
    <sheetView workbookViewId="0">
      <selection activeCell="C59" sqref="C59"/>
    </sheetView>
  </sheetViews>
  <sheetFormatPr defaultRowHeight="12.5"/>
  <cols>
    <col min="1" max="1" width="37.1796875" style="26" customWidth="1"/>
    <col min="2" max="2" width="17.7265625" style="27" customWidth="1"/>
    <col min="3" max="4" width="17.7265625" customWidth="1"/>
    <col min="5" max="6" width="17.7265625" style="28" customWidth="1"/>
    <col min="7" max="7" width="2.7265625" customWidth="1"/>
    <col min="8" max="8" width="14.453125" customWidth="1"/>
    <col min="9" max="9" width="12.7265625" bestFit="1" customWidth="1"/>
  </cols>
  <sheetData>
    <row r="1" spans="1:9">
      <c r="A1" s="26" t="s">
        <v>131</v>
      </c>
    </row>
    <row r="2" spans="1:9">
      <c r="A2" s="26" t="s">
        <v>132</v>
      </c>
    </row>
    <row r="3" spans="1:9">
      <c r="A3" s="26" t="s">
        <v>133</v>
      </c>
    </row>
    <row r="4" spans="1:9">
      <c r="D4" s="28"/>
    </row>
    <row r="5" spans="1:9" ht="13">
      <c r="B5" s="29" t="s">
        <v>134</v>
      </c>
      <c r="C5" s="30" t="s">
        <v>112</v>
      </c>
    </row>
    <row r="6" spans="1:9" ht="13">
      <c r="A6" s="31" t="s">
        <v>135</v>
      </c>
      <c r="B6" s="29" t="s">
        <v>136</v>
      </c>
      <c r="C6" s="29" t="s">
        <v>96</v>
      </c>
      <c r="D6" s="30" t="s">
        <v>137</v>
      </c>
      <c r="E6" s="29" t="s">
        <v>138</v>
      </c>
      <c r="F6" s="29" t="s">
        <v>139</v>
      </c>
    </row>
    <row r="7" spans="1:9">
      <c r="A7" s="26" t="s">
        <v>140</v>
      </c>
      <c r="B7" s="27">
        <f>RS!G36</f>
        <v>235471979.98163491</v>
      </c>
      <c r="C7" s="32"/>
      <c r="D7" s="28"/>
      <c r="I7" s="7"/>
    </row>
    <row r="8" spans="1:9">
      <c r="A8" s="45" t="s">
        <v>146</v>
      </c>
      <c r="B8" s="27">
        <f>RSLMTOD!G38</f>
        <v>350562.85336452327</v>
      </c>
      <c r="C8" s="33"/>
      <c r="D8" s="28"/>
      <c r="I8" s="7"/>
    </row>
    <row r="9" spans="1:9">
      <c r="A9" s="45" t="s">
        <v>145</v>
      </c>
      <c r="B9" s="34">
        <f>RSTOD!G35</f>
        <v>8442.6841093900603</v>
      </c>
      <c r="C9" s="35"/>
      <c r="D9" s="36"/>
      <c r="E9" s="36"/>
      <c r="F9" s="36"/>
      <c r="I9" s="7"/>
    </row>
    <row r="10" spans="1:9">
      <c r="A10" s="26" t="s">
        <v>141</v>
      </c>
      <c r="B10" s="27">
        <f>SUM(B7:B9)</f>
        <v>235830985.51910883</v>
      </c>
      <c r="C10" s="38">
        <v>-9764</v>
      </c>
      <c r="D10" s="28">
        <f>+B10+C10</f>
        <v>235821221.51910883</v>
      </c>
      <c r="E10" s="37">
        <v>235821221</v>
      </c>
      <c r="F10" s="28">
        <f>+D10-E10</f>
        <v>0.51910883188247681</v>
      </c>
    </row>
    <row r="11" spans="1:9">
      <c r="C11" s="33"/>
      <c r="D11" s="28"/>
    </row>
    <row r="12" spans="1:9">
      <c r="A12" s="26" t="s">
        <v>83</v>
      </c>
      <c r="B12" s="27">
        <f>OL!G68</f>
        <v>8433544.1983330492</v>
      </c>
      <c r="C12" s="38">
        <v>-498</v>
      </c>
      <c r="D12" s="28">
        <f>+B12+C12</f>
        <v>8433046.1983330492</v>
      </c>
      <c r="E12" s="37">
        <v>8433046</v>
      </c>
      <c r="F12" s="28">
        <f>+D12-E12</f>
        <v>0.19833304919302464</v>
      </c>
      <c r="G12" s="83"/>
    </row>
    <row r="14" spans="1:9">
      <c r="A14" s="45" t="s">
        <v>147</v>
      </c>
      <c r="B14" s="27">
        <f>SGS!G32</f>
        <v>18889354.845707051</v>
      </c>
      <c r="C14" s="33"/>
      <c r="D14" s="28"/>
    </row>
    <row r="15" spans="1:9">
      <c r="A15" s="45" t="s">
        <v>148</v>
      </c>
      <c r="B15" s="27">
        <f>SGSLMTOD!G31</f>
        <v>40083.866210619875</v>
      </c>
      <c r="C15" s="33"/>
      <c r="D15" s="28"/>
    </row>
    <row r="16" spans="1:9">
      <c r="A16" s="228" t="s">
        <v>149</v>
      </c>
      <c r="B16" s="42">
        <f>SGSTOD!G31</f>
        <v>125531.10360682252</v>
      </c>
      <c r="C16" s="75"/>
      <c r="D16" s="44"/>
      <c r="E16" s="76"/>
      <c r="F16" s="44"/>
      <c r="G16" s="28"/>
    </row>
    <row r="17" spans="1:8">
      <c r="A17" s="228" t="s">
        <v>150</v>
      </c>
      <c r="B17" s="42">
        <f>'SGS-NM'!G33</f>
        <v>610744.85228384228</v>
      </c>
      <c r="C17" s="75"/>
      <c r="D17" s="44"/>
      <c r="E17" s="76"/>
      <c r="F17" s="44"/>
      <c r="G17" s="28"/>
    </row>
    <row r="18" spans="1:8">
      <c r="A18" s="228" t="s">
        <v>155</v>
      </c>
      <c r="B18" s="42">
        <f>'MGS AF'!G30</f>
        <v>169536.60950695016</v>
      </c>
      <c r="C18" s="76"/>
      <c r="D18" s="42"/>
      <c r="E18" s="76"/>
      <c r="F18" s="44"/>
    </row>
    <row r="19" spans="1:8">
      <c r="A19" s="45" t="s">
        <v>156</v>
      </c>
      <c r="B19" s="27">
        <f>'MGS-SEC'!G42</f>
        <v>54627745.011790283</v>
      </c>
      <c r="C19" s="37"/>
      <c r="D19" s="27"/>
      <c r="E19" s="37"/>
    </row>
    <row r="20" spans="1:8">
      <c r="A20" s="45" t="s">
        <v>157</v>
      </c>
      <c r="B20" s="27">
        <f>MGSLMTOD!G30</f>
        <v>96133.540604125505</v>
      </c>
      <c r="C20" s="37"/>
      <c r="D20" s="27"/>
      <c r="E20" s="37"/>
    </row>
    <row r="21" spans="1:8">
      <c r="A21" s="45" t="s">
        <v>158</v>
      </c>
      <c r="B21" s="27">
        <f>MGSTOD!G30</f>
        <v>398112.027594949</v>
      </c>
      <c r="C21" s="37"/>
      <c r="D21" s="27"/>
      <c r="E21" s="37"/>
    </row>
    <row r="22" spans="1:8">
      <c r="A22" s="45" t="s">
        <v>159</v>
      </c>
      <c r="B22" s="27">
        <f>'MGS-PRI'!G43</f>
        <v>1604999.8427101956</v>
      </c>
      <c r="C22" s="37"/>
      <c r="D22" s="27"/>
      <c r="E22" s="37"/>
    </row>
    <row r="23" spans="1:8">
      <c r="A23" s="45" t="s">
        <v>160</v>
      </c>
      <c r="B23" s="42">
        <f>'MGS-SUB'!G43</f>
        <v>144788.95570481842</v>
      </c>
      <c r="C23" s="75"/>
      <c r="D23" s="44"/>
      <c r="E23" s="76"/>
      <c r="F23" s="44"/>
    </row>
    <row r="24" spans="1:8">
      <c r="A24" s="45" t="s">
        <v>294</v>
      </c>
      <c r="B24" s="42">
        <f>SUM(B14:B23)</f>
        <v>76707030.655719668</v>
      </c>
      <c r="C24" s="229">
        <v>6730</v>
      </c>
      <c r="D24" s="44">
        <f>+B24+C24</f>
        <v>76713760.655719668</v>
      </c>
      <c r="E24" s="76">
        <v>76713763</v>
      </c>
      <c r="F24" s="44">
        <f>+D24-E24</f>
        <v>-2.344280332326889</v>
      </c>
      <c r="G24" s="230"/>
      <c r="H24" s="333"/>
    </row>
    <row r="25" spans="1:8">
      <c r="A25" s="45"/>
      <c r="B25" s="42"/>
      <c r="C25" s="231"/>
      <c r="D25" s="44"/>
      <c r="E25" s="76"/>
      <c r="F25" s="44"/>
      <c r="G25" s="230"/>
      <c r="H25" s="334"/>
    </row>
    <row r="26" spans="1:8">
      <c r="A26" s="47" t="s">
        <v>229</v>
      </c>
      <c r="B26" s="42">
        <f>'School Sec'!G34</f>
        <v>12120187.994741172</v>
      </c>
      <c r="C26" s="231"/>
      <c r="D26" s="44"/>
      <c r="E26" s="76"/>
      <c r="F26" s="44"/>
      <c r="G26" s="230"/>
      <c r="H26" s="334"/>
    </row>
    <row r="27" spans="1:8">
      <c r="A27" s="47" t="s">
        <v>230</v>
      </c>
      <c r="B27" s="42">
        <f>'School Pri'!G34</f>
        <v>175318.95703272024</v>
      </c>
      <c r="C27" s="75"/>
      <c r="D27" s="44"/>
      <c r="E27" s="76"/>
      <c r="F27" s="44"/>
      <c r="G27" s="230"/>
      <c r="H27" s="334"/>
    </row>
    <row r="28" spans="1:8">
      <c r="A28" s="45" t="s">
        <v>161</v>
      </c>
      <c r="B28" s="42">
        <f>'LGS-SEC'!G34</f>
        <v>42559836.73547329</v>
      </c>
      <c r="C28" s="231"/>
      <c r="D28" s="44"/>
      <c r="E28" s="76"/>
      <c r="F28" s="44"/>
      <c r="G28" s="230"/>
      <c r="H28" s="334"/>
    </row>
    <row r="29" spans="1:8">
      <c r="A29" s="45" t="s">
        <v>162</v>
      </c>
      <c r="B29" s="42">
        <f>LGSLMTOD!G30</f>
        <v>204702.36346420157</v>
      </c>
      <c r="C29" s="231"/>
      <c r="D29" s="44"/>
      <c r="E29" s="76"/>
      <c r="F29" s="44"/>
      <c r="G29" s="230"/>
      <c r="H29" s="334"/>
    </row>
    <row r="30" spans="1:8">
      <c r="A30" s="45" t="s">
        <v>299</v>
      </c>
      <c r="B30" s="42">
        <f>LGSSECTOD!G36</f>
        <v>297985.60533873178</v>
      </c>
      <c r="C30" s="231"/>
      <c r="D30" s="44"/>
      <c r="E30" s="76"/>
      <c r="F30" s="44"/>
      <c r="G30" s="230"/>
      <c r="H30" s="334"/>
    </row>
    <row r="31" spans="1:8">
      <c r="A31" s="45" t="s">
        <v>163</v>
      </c>
      <c r="B31" s="42">
        <f>'LGS-PRI'!G34</f>
        <v>7945540.6330072908</v>
      </c>
      <c r="C31" s="231"/>
      <c r="D31" s="44"/>
      <c r="E31" s="76"/>
      <c r="F31" s="44"/>
      <c r="G31" s="230"/>
      <c r="H31" s="334"/>
    </row>
    <row r="32" spans="1:8">
      <c r="A32" s="45" t="s">
        <v>164</v>
      </c>
      <c r="B32" s="42">
        <f>'LGS-SUB'!G34</f>
        <v>2955320.7959040659</v>
      </c>
      <c r="C32" s="231"/>
      <c r="D32" s="44"/>
      <c r="E32" s="76"/>
      <c r="F32" s="44"/>
      <c r="G32" s="230"/>
      <c r="H32" s="334"/>
    </row>
    <row r="33" spans="1:8">
      <c r="A33" s="45" t="s">
        <v>165</v>
      </c>
      <c r="B33" s="42">
        <f>'LGS-TRAN'!G34</f>
        <v>147973.54878783852</v>
      </c>
      <c r="C33" s="75"/>
      <c r="D33" s="44"/>
      <c r="E33" s="76"/>
      <c r="F33" s="44"/>
      <c r="G33" s="230"/>
      <c r="H33" s="334"/>
    </row>
    <row r="34" spans="1:8" s="15" customFormat="1">
      <c r="A34" s="233" t="s">
        <v>143</v>
      </c>
      <c r="B34" s="234">
        <f>SUM(B26:B33)</f>
        <v>66406866.633749299</v>
      </c>
      <c r="C34" s="235">
        <v>-7049</v>
      </c>
      <c r="D34" s="236">
        <f>+B34+C34</f>
        <v>66399817.633749299</v>
      </c>
      <c r="E34" s="237">
        <v>66399816</v>
      </c>
      <c r="F34" s="236">
        <f>+D34-E34</f>
        <v>1.6337492987513542</v>
      </c>
      <c r="G34" s="238"/>
      <c r="H34" s="334"/>
    </row>
    <row r="35" spans="1:8">
      <c r="A35" s="45"/>
      <c r="C35" s="40"/>
      <c r="D35" s="28"/>
      <c r="E35" s="37"/>
    </row>
    <row r="36" spans="1:8">
      <c r="A36" s="45" t="s">
        <v>295</v>
      </c>
      <c r="B36" s="27">
        <f>'IGS-SEC'!G38</f>
        <v>1325827.0706041148</v>
      </c>
      <c r="C36" s="40"/>
      <c r="D36" s="28"/>
      <c r="E36" s="37"/>
    </row>
    <row r="37" spans="1:8">
      <c r="A37" s="45" t="s">
        <v>296</v>
      </c>
      <c r="B37" s="27">
        <f>'IGS-PRI'!G38</f>
        <v>22664128.542690001</v>
      </c>
      <c r="C37" s="40"/>
      <c r="D37" s="28"/>
      <c r="E37" s="37"/>
    </row>
    <row r="38" spans="1:8">
      <c r="A38" s="45" t="s">
        <v>297</v>
      </c>
      <c r="B38" s="27">
        <f>'IGS-SUB'!G40</f>
        <v>101222753.29871759</v>
      </c>
      <c r="C38" s="40"/>
      <c r="D38" s="28"/>
      <c r="E38" s="37"/>
    </row>
    <row r="39" spans="1:8">
      <c r="A39" s="45" t="s">
        <v>298</v>
      </c>
      <c r="B39" s="34">
        <f>'IGS-TRAN'!G38</f>
        <v>17091643.42101505</v>
      </c>
      <c r="C39" s="35"/>
      <c r="D39" s="36"/>
      <c r="E39" s="39"/>
      <c r="F39" s="36"/>
    </row>
    <row r="40" spans="1:8">
      <c r="A40" s="45" t="s">
        <v>346</v>
      </c>
      <c r="B40" s="27">
        <f>SUM(B36:B39)</f>
        <v>142304352.33302677</v>
      </c>
      <c r="C40" s="41">
        <v>-255</v>
      </c>
      <c r="D40" s="28">
        <f>+B40+C40</f>
        <v>142304097.33302677</v>
      </c>
      <c r="E40" s="37">
        <v>142304103</v>
      </c>
      <c r="F40" s="28">
        <f>+D40-E40</f>
        <v>-5.6669732332229614</v>
      </c>
    </row>
    <row r="41" spans="1:8">
      <c r="C41" s="41"/>
      <c r="D41" s="28"/>
      <c r="E41" s="37"/>
    </row>
    <row r="42" spans="1:8">
      <c r="A42" s="45" t="s">
        <v>144</v>
      </c>
      <c r="B42" s="42">
        <f>'Revenue Comparison'!F48</f>
        <v>1443867.9940438303</v>
      </c>
      <c r="C42" s="43">
        <v>108</v>
      </c>
      <c r="D42" s="44">
        <f>+B42+C42</f>
        <v>1443975.9940438303</v>
      </c>
      <c r="E42" s="37">
        <v>1443976</v>
      </c>
      <c r="F42" s="28">
        <f>+D42-E42</f>
        <v>-5.9561696834862232E-3</v>
      </c>
      <c r="G42" s="47"/>
    </row>
    <row r="43" spans="1:8">
      <c r="A43" s="45"/>
      <c r="B43" s="42"/>
      <c r="C43" s="43"/>
      <c r="D43" s="44"/>
      <c r="E43" s="37"/>
    </row>
    <row r="44" spans="1:8">
      <c r="A44" s="45" t="s">
        <v>153</v>
      </c>
      <c r="B44" s="27">
        <f>'Revenue Comparison'!F50</f>
        <v>199303.0546362481</v>
      </c>
      <c r="C44" s="37">
        <v>-4</v>
      </c>
      <c r="D44" s="28">
        <f>+B44+C44</f>
        <v>199299.0546362481</v>
      </c>
      <c r="E44" s="37">
        <v>199299</v>
      </c>
      <c r="F44" s="28">
        <f>+D44-E44</f>
        <v>5.4636248096358031E-2</v>
      </c>
      <c r="G44" s="47"/>
    </row>
    <row r="45" spans="1:8">
      <c r="D45" s="28"/>
    </row>
    <row r="46" spans="1:8">
      <c r="A46" s="26" t="s">
        <v>14</v>
      </c>
      <c r="B46" s="28">
        <f>B44+B42+B40+B34+B24+B12+B10</f>
        <v>531325950.38861769</v>
      </c>
      <c r="C46" s="28">
        <f>C44+C42+C40+C34+C24+C12+C10</f>
        <v>-10732</v>
      </c>
      <c r="D46" s="28">
        <f>D44+D42+D40+D34+D24+D12+D10</f>
        <v>531315218.38861769</v>
      </c>
      <c r="E46" s="255">
        <f>E44+E42+E40+E34+E24+E12+E10</f>
        <v>531315224</v>
      </c>
      <c r="F46" s="28">
        <f>F44+F42+F40+F34+F24+F12+F10</f>
        <v>-5.611382307310123</v>
      </c>
    </row>
    <row r="47" spans="1:8">
      <c r="C47" s="28"/>
    </row>
    <row r="49" spans="1:1" ht="13">
      <c r="A49" s="22"/>
    </row>
  </sheetData>
  <mergeCells count="1">
    <mergeCell ref="H24:H34"/>
  </mergeCells>
  <printOptions horizontalCentered="1"/>
  <pageMargins left="0.25" right="0.25" top="1" bottom="0.75" header="0.5" footer="0.2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2</vt:i4>
      </vt:variant>
    </vt:vector>
  </HeadingPairs>
  <TitlesOfParts>
    <vt:vector size="40" baseType="lpstr">
      <vt:lpstr>Settle Exh 1</vt:lpstr>
      <vt:lpstr>Settle Exhibit 1</vt:lpstr>
      <vt:lpstr>RES Typical Bill</vt:lpstr>
      <vt:lpstr>Settle Summary</vt:lpstr>
      <vt:lpstr>Rate Input</vt:lpstr>
      <vt:lpstr>Current Revenue Summary</vt:lpstr>
      <vt:lpstr>Newspaper Table</vt:lpstr>
      <vt:lpstr>SUMMARY</vt:lpstr>
      <vt:lpstr>Reconciliation</vt:lpstr>
      <vt:lpstr>Revenue Comparison</vt:lpstr>
      <vt:lpstr>RS</vt:lpstr>
      <vt:lpstr>RSLMTOD</vt:lpstr>
      <vt:lpstr>RSTOD</vt:lpstr>
      <vt:lpstr>SGS</vt:lpstr>
      <vt:lpstr>SGS-NM</vt:lpstr>
      <vt:lpstr>SGSLMTOD</vt:lpstr>
      <vt:lpstr>MGSLMTOD</vt:lpstr>
      <vt:lpstr>SGSTOD</vt:lpstr>
      <vt:lpstr>MGS-SEC</vt:lpstr>
      <vt:lpstr>MGS AF</vt:lpstr>
      <vt:lpstr>MGSTOD</vt:lpstr>
      <vt:lpstr>MGS-PRI</vt:lpstr>
      <vt:lpstr>MGS-SUB</vt:lpstr>
      <vt:lpstr>School Sec</vt:lpstr>
      <vt:lpstr>School Pri</vt:lpstr>
      <vt:lpstr>LGS-SEC</vt:lpstr>
      <vt:lpstr>LGSLMTOD</vt:lpstr>
      <vt:lpstr>LGSSECTOD</vt:lpstr>
      <vt:lpstr>LGS-PRI</vt:lpstr>
      <vt:lpstr>LGS-SUB</vt:lpstr>
      <vt:lpstr>LGS-TRAN</vt:lpstr>
      <vt:lpstr>IGS-SEC</vt:lpstr>
      <vt:lpstr>IGS-PRI</vt:lpstr>
      <vt:lpstr>IGS-SUB</vt:lpstr>
      <vt:lpstr>IGS-TRAN</vt:lpstr>
      <vt:lpstr>MW</vt:lpstr>
      <vt:lpstr>OL</vt:lpstr>
      <vt:lpstr>SL</vt:lpstr>
      <vt:lpstr>SGS!Print_Area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