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4" i="1" l="1"/>
  <c r="C77" i="1" s="1"/>
  <c r="C35" i="1" s="1"/>
  <c r="C63" i="1"/>
  <c r="C64" i="1" s="1"/>
  <c r="C61" i="1"/>
  <c r="G52" i="1"/>
  <c r="C52" i="1"/>
  <c r="G51" i="1"/>
  <c r="C51" i="1" s="1"/>
  <c r="C47" i="1"/>
  <c r="C46" i="1"/>
  <c r="G44" i="1"/>
  <c r="C44" i="1" s="1"/>
  <c r="G43" i="1"/>
  <c r="C43" i="1"/>
  <c r="G41" i="1"/>
  <c r="C41" i="1" s="1"/>
  <c r="G40" i="1"/>
  <c r="C40" i="1" s="1"/>
  <c r="G39" i="1"/>
  <c r="C39" i="1"/>
  <c r="G38" i="1"/>
  <c r="C38" i="1" s="1"/>
  <c r="G37" i="1"/>
  <c r="C37" i="1" s="1"/>
  <c r="G36" i="1"/>
  <c r="C36" i="1" s="1"/>
  <c r="G34" i="1"/>
  <c r="C34" i="1" s="1"/>
  <c r="D22" i="1"/>
  <c r="A22" i="1"/>
  <c r="D19" i="1"/>
  <c r="A16" i="1"/>
  <c r="F14" i="1"/>
  <c r="D13" i="1"/>
  <c r="D10" i="1"/>
  <c r="F16" i="1" s="1"/>
  <c r="F20" i="1" l="1"/>
  <c r="C65" i="1"/>
  <c r="C66" i="1" s="1"/>
  <c r="C42" i="1"/>
  <c r="C45" i="1" s="1"/>
  <c r="C48" i="1" l="1"/>
  <c r="C55" i="1" s="1"/>
  <c r="C54" i="1"/>
</calcChain>
</file>

<file path=xl/sharedStrings.xml><?xml version="1.0" encoding="utf-8"?>
<sst xmlns="http://schemas.openxmlformats.org/spreadsheetml/2006/main" count="110" uniqueCount="96">
  <si>
    <t>Kentucky Power Company</t>
  </si>
  <si>
    <t>Case No. 2017-00179</t>
  </si>
  <si>
    <t>Test Year Ended February 28, 2017</t>
  </si>
  <si>
    <r>
      <t xml:space="preserve">Ln </t>
    </r>
    <r>
      <rPr>
        <b/>
        <u/>
        <sz val="10"/>
        <rFont val="Arial"/>
        <family val="2"/>
      </rPr>
      <t>No.</t>
    </r>
  </si>
  <si>
    <t>Reference</t>
  </si>
  <si>
    <t>Amount</t>
  </si>
  <si>
    <r>
      <rPr>
        <b/>
        <sz val="10"/>
        <rFont val="Arial"/>
        <family val="2"/>
      </rPr>
      <t>Cumulative Percentage</t>
    </r>
    <r>
      <rPr>
        <b/>
        <u/>
        <sz val="10"/>
        <rFont val="Arial"/>
        <family val="2"/>
      </rPr>
      <t xml:space="preserve"> Increase</t>
    </r>
  </si>
  <si>
    <t>(1a)</t>
  </si>
  <si>
    <t>Test Year Retail Sales Revenues per Income Statement</t>
  </si>
  <si>
    <t>Section V, Schedule 4, Cell C7</t>
  </si>
  <si>
    <t>(1b)</t>
  </si>
  <si>
    <t>Less: Capacity Charge Over/Under removed in Adj 1</t>
  </si>
  <si>
    <t>(1)</t>
  </si>
  <si>
    <t>Test Year Retail Sales Revenues</t>
  </si>
  <si>
    <t xml:space="preserve"> </t>
  </si>
  <si>
    <t>(2a)</t>
  </si>
  <si>
    <t xml:space="preserve">Proposed Increase to Revenue Requirement  </t>
  </si>
  <si>
    <t>Section V, Schedule 1, Cell I47</t>
  </si>
  <si>
    <t>(2b)</t>
  </si>
  <si>
    <t>Shortfall Due to Rounding of Rates</t>
  </si>
  <si>
    <t>(2)</t>
  </si>
  <si>
    <t>KEDS + HEAP</t>
  </si>
  <si>
    <t>Section II, Exhibit J</t>
  </si>
  <si>
    <t>(4a)</t>
  </si>
  <si>
    <t>Environmental Surcharge Revenues</t>
  </si>
  <si>
    <t>Exhibit AJE-3</t>
  </si>
  <si>
    <t>(4b)</t>
  </si>
  <si>
    <t>(4)</t>
  </si>
  <si>
    <t>Total Increase  (Ln 2 + Ln 3 + Ln 4)</t>
  </si>
  <si>
    <t>Revenue Requirement</t>
  </si>
  <si>
    <t xml:space="preserve"> Impact (millions)</t>
  </si>
  <si>
    <t>Estimated Loss of Load since 9/30/2014 TY</t>
  </si>
  <si>
    <t>Source:</t>
  </si>
  <si>
    <t>System Sales Clause Adjustment</t>
  </si>
  <si>
    <t>Section V, Schedule 5, Adj W8 Net Operating Income Line</t>
  </si>
  <si>
    <t>Return on Incremental Rate Base</t>
  </si>
  <si>
    <t>Calculation Below</t>
  </si>
  <si>
    <t>Interest Sync Adjustment</t>
  </si>
  <si>
    <t>Section V, Schedule 5, Adj W49 Net Operating Income Line</t>
  </si>
  <si>
    <t>Purchased Power Limitation - PUE &amp; FO</t>
  </si>
  <si>
    <t>Section V, Schedule 5, Adj W26 and W27 Net Operating Income Line</t>
  </si>
  <si>
    <t>OATT Adjustment</t>
  </si>
  <si>
    <t>Section V, Schedule 5, Adj W28 Net Operating Income Line</t>
  </si>
  <si>
    <t>Big Sandy 1 Updated Depreciation Rates</t>
  </si>
  <si>
    <t>Section V, Schedule 5, Adj W43 Net Operating Income Line</t>
  </si>
  <si>
    <t>Depreciation Expense Annualization</t>
  </si>
  <si>
    <t>Section V, Schedule 5, Adj W42 Net Operating Income Line</t>
  </si>
  <si>
    <t>Storm Normalization &amp; Amortization</t>
  </si>
  <si>
    <t>Section V, Schedule 5, Adj W18 Net Operating Income Line</t>
  </si>
  <si>
    <t>Other</t>
  </si>
  <si>
    <t>Revenue Adjustments</t>
  </si>
  <si>
    <t>Section V, Schedule 5, Adj W13, W14 and W15 Net Operating Income Line</t>
  </si>
  <si>
    <t>Reduce Base Vegetation Management Expense</t>
  </si>
  <si>
    <t>Section V, Schedule 5, Adj W56 Net Operating Income Line</t>
  </si>
  <si>
    <t>Total Base Rate Increase</t>
  </si>
  <si>
    <t>a</t>
  </si>
  <si>
    <t>KEDS+HEAP Increase</t>
  </si>
  <si>
    <t>Incremental Environmental Compliance Plan</t>
  </si>
  <si>
    <t>Initial Total Ask (Newspaper Notice)</t>
  </si>
  <si>
    <t>b</t>
  </si>
  <si>
    <t>8-7-2017 ReFi Update to COS</t>
  </si>
  <si>
    <t>Base Rate reduction in interest expense</t>
  </si>
  <si>
    <t>Reduction in Going level Revenues from Environmental Base</t>
  </si>
  <si>
    <t>New Requested Base Rate Increase</t>
  </si>
  <si>
    <t>compare to a above</t>
  </si>
  <si>
    <t>New total increase</t>
  </si>
  <si>
    <t>compare to b above</t>
  </si>
  <si>
    <t xml:space="preserve">  TY 9/30/2014 Sales kWh</t>
  </si>
  <si>
    <t xml:space="preserve">a </t>
  </si>
  <si>
    <t xml:space="preserve">  TY 2/28/2017 Sales kWh</t>
  </si>
  <si>
    <t xml:space="preserve">  Load Lost %</t>
  </si>
  <si>
    <t xml:space="preserve">  Current Sales Revenue this case (Adjusted)</t>
  </si>
  <si>
    <t>c</t>
  </si>
  <si>
    <t xml:space="preserve">  Sales Revenue Absent Load Loss</t>
  </si>
  <si>
    <t>d = c*(a/b)</t>
  </si>
  <si>
    <t xml:space="preserve">  Revenue Lost</t>
  </si>
  <si>
    <t>e = d-c</t>
  </si>
  <si>
    <t xml:space="preserve">  Expenses (59%)</t>
  </si>
  <si>
    <t>f = e*.59</t>
  </si>
  <si>
    <t xml:space="preserve">  Net Revenue Impact</t>
  </si>
  <si>
    <t>= e -f</t>
  </si>
  <si>
    <t>Final KY Retail Capitalzation from 2014-00396</t>
  </si>
  <si>
    <t>Current Case</t>
  </si>
  <si>
    <t>Incremental Base Rate Capital</t>
  </si>
  <si>
    <t>Rate of Return (WP S-2, Pg 1, L 5, Col 6)</t>
  </si>
  <si>
    <t>Gross Revenue Conversion Factor (Per WP S-2, Pg 2, L 9)</t>
  </si>
  <si>
    <t>Supplemental Exhibit AEV1</t>
  </si>
  <si>
    <t>AG1-175 Reference</t>
  </si>
  <si>
    <t>part k</t>
  </si>
  <si>
    <t>part d</t>
  </si>
  <si>
    <t>part f</t>
  </si>
  <si>
    <t>part h</t>
  </si>
  <si>
    <t>part j</t>
  </si>
  <si>
    <t>part i</t>
  </si>
  <si>
    <t>part e</t>
  </si>
  <si>
    <t>AG 2-58 Attachment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</si>
</sst>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 val="singleAccounting"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2" fillId="2" borderId="0" xfId="0" quotePrefix="1" applyNumberFormat="1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165" fontId="2" fillId="2" borderId="0" xfId="3" applyNumberFormat="1" applyFont="1" applyFill="1" applyBorder="1"/>
    <xf numFmtId="165" fontId="2" fillId="2" borderId="0" xfId="3" applyNumberFormat="1" applyFont="1" applyFill="1"/>
    <xf numFmtId="165" fontId="2" fillId="2" borderId="1" xfId="3" applyNumberFormat="1" applyFont="1" applyFill="1" applyBorder="1"/>
    <xf numFmtId="164" fontId="2" fillId="2" borderId="0" xfId="0" applyNumberFormat="1" applyFont="1" applyFill="1" applyAlignment="1">
      <alignment horizontal="center"/>
    </xf>
    <xf numFmtId="10" fontId="2" fillId="2" borderId="0" xfId="2" applyNumberFormat="1" applyFont="1" applyFill="1" applyAlignment="1">
      <alignment horizontal="center"/>
    </xf>
    <xf numFmtId="10" fontId="0" fillId="2" borderId="0" xfId="2" applyNumberFormat="1" applyFont="1" applyFill="1"/>
    <xf numFmtId="0" fontId="2" fillId="2" borderId="0" xfId="0" applyFont="1" applyFill="1" applyAlignment="1">
      <alignment horizontal="center"/>
    </xf>
    <xf numFmtId="166" fontId="0" fillId="2" borderId="0" xfId="3" applyNumberFormat="1" applyFont="1" applyFill="1"/>
    <xf numFmtId="165" fontId="2" fillId="2" borderId="2" xfId="3" applyNumberFormat="1" applyFont="1" applyFill="1" applyBorder="1"/>
    <xf numFmtId="10" fontId="4" fillId="2" borderId="0" xfId="2" applyNumberFormat="1" applyFont="1" applyFill="1"/>
    <xf numFmtId="166" fontId="0" fillId="2" borderId="0" xfId="3" applyNumberFormat="1" applyFont="1" applyFill="1" applyBorder="1"/>
    <xf numFmtId="167" fontId="0" fillId="2" borderId="0" xfId="1" applyNumberFormat="1" applyFont="1" applyFill="1" applyBorder="1"/>
    <xf numFmtId="43" fontId="0" fillId="2" borderId="0" xfId="0" applyNumberFormat="1" applyFill="1"/>
    <xf numFmtId="167" fontId="2" fillId="2" borderId="0" xfId="0" applyNumberFormat="1" applyFont="1" applyFill="1" applyAlignment="1">
      <alignment horizontal="center"/>
    </xf>
    <xf numFmtId="167" fontId="2" fillId="2" borderId="2" xfId="1" applyNumberFormat="1" applyFont="1" applyFill="1" applyBorder="1"/>
    <xf numFmtId="167" fontId="5" fillId="2" borderId="0" xfId="1" applyNumberFormat="1" applyFont="1" applyFill="1"/>
    <xf numFmtId="6" fontId="0" fillId="2" borderId="0" xfId="0" applyNumberFormat="1" applyFill="1"/>
    <xf numFmtId="166" fontId="2" fillId="2" borderId="0" xfId="3" applyNumberFormat="1" applyFont="1" applyFill="1"/>
    <xf numFmtId="5" fontId="0" fillId="2" borderId="0" xfId="0" applyNumberFormat="1" applyFill="1"/>
    <xf numFmtId="7" fontId="0" fillId="2" borderId="0" xfId="0" applyNumberFormat="1" applyFill="1"/>
    <xf numFmtId="37" fontId="0" fillId="2" borderId="0" xfId="0" applyNumberFormat="1" applyFill="1"/>
    <xf numFmtId="0" fontId="0" fillId="2" borderId="0" xfId="0" quotePrefix="1" applyFill="1"/>
    <xf numFmtId="10" fontId="0" fillId="2" borderId="0" xfId="0" applyNumberFormat="1" applyFill="1"/>
    <xf numFmtId="0" fontId="2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>
      <alignment horizontal="center"/>
    </xf>
    <xf numFmtId="165" fontId="0" fillId="2" borderId="0" xfId="4" applyNumberFormat="1" applyFont="1" applyFill="1"/>
    <xf numFmtId="165" fontId="0" fillId="2" borderId="0" xfId="4" applyNumberFormat="1" applyFont="1" applyFill="1" applyBorder="1"/>
  </cellXfs>
  <cellStyles count="5">
    <cellStyle name="Comma" xfId="1" builtinId="3"/>
    <cellStyle name="Currency" xfId="4" builtinId="4"/>
    <cellStyle name="Currency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B1" zoomScale="115" zoomScaleNormal="115" workbookViewId="0">
      <selection activeCell="B6" sqref="B6"/>
    </sheetView>
  </sheetViews>
  <sheetFormatPr defaultColWidth="9.140625" defaultRowHeight="15" x14ac:dyDescent="0.25"/>
  <cols>
    <col min="1" max="1" width="5.7109375" style="1" customWidth="1"/>
    <col min="2" max="2" width="54.42578125" style="1" customWidth="1"/>
    <col min="3" max="3" width="28.7109375" style="1" customWidth="1"/>
    <col min="4" max="5" width="13.5703125" style="1" customWidth="1"/>
    <col min="6" max="6" width="27.85546875" style="1" customWidth="1"/>
    <col min="7" max="7" width="9.140625" style="1" hidden="1" customWidth="1"/>
    <col min="8" max="16384" width="9.140625" style="1"/>
  </cols>
  <sheetData>
    <row r="1" spans="1:9" x14ac:dyDescent="0.25">
      <c r="B1" s="2" t="s">
        <v>95</v>
      </c>
      <c r="C1" s="2"/>
      <c r="D1" s="2"/>
      <c r="E1" s="2"/>
      <c r="F1" s="2"/>
      <c r="G1" s="2"/>
      <c r="H1" s="2"/>
      <c r="I1" s="2"/>
    </row>
    <row r="2" spans="1:9" x14ac:dyDescent="0.25">
      <c r="B2" s="33" t="s">
        <v>0</v>
      </c>
      <c r="C2" s="33"/>
      <c r="D2" s="33"/>
      <c r="E2" s="33"/>
      <c r="F2" s="34"/>
      <c r="G2" s="2"/>
      <c r="H2" s="2"/>
      <c r="I2" s="2"/>
    </row>
    <row r="3" spans="1:9" x14ac:dyDescent="0.25">
      <c r="B3" s="33" t="s">
        <v>1</v>
      </c>
      <c r="C3" s="33"/>
      <c r="D3" s="33"/>
      <c r="E3" s="33"/>
      <c r="F3" s="33"/>
      <c r="G3" s="2"/>
      <c r="H3" s="2"/>
      <c r="I3" s="2"/>
    </row>
    <row r="4" spans="1:9" ht="13.15" customHeight="1" x14ac:dyDescent="0.25">
      <c r="B4" s="33" t="s">
        <v>2</v>
      </c>
      <c r="C4" s="35"/>
      <c r="D4" s="35"/>
      <c r="E4" s="35"/>
      <c r="F4" s="35"/>
      <c r="G4" s="2"/>
      <c r="H4" s="2"/>
      <c r="I4" s="2"/>
    </row>
    <row r="5" spans="1:9" x14ac:dyDescent="0.25">
      <c r="B5" s="3"/>
      <c r="C5" s="3"/>
      <c r="D5" s="3"/>
      <c r="E5" s="3"/>
      <c r="F5" s="3"/>
    </row>
    <row r="7" spans="1:9" ht="26.25" x14ac:dyDescent="0.25">
      <c r="A7" s="4" t="s">
        <v>3</v>
      </c>
      <c r="C7" s="5" t="s">
        <v>4</v>
      </c>
      <c r="D7" s="5" t="s">
        <v>5</v>
      </c>
      <c r="E7" s="5"/>
      <c r="F7" s="6" t="s">
        <v>6</v>
      </c>
    </row>
    <row r="8" spans="1:9" x14ac:dyDescent="0.25">
      <c r="A8" s="7" t="s">
        <v>7</v>
      </c>
      <c r="B8" s="8" t="s">
        <v>8</v>
      </c>
      <c r="C8" s="9" t="s">
        <v>9</v>
      </c>
      <c r="D8" s="10">
        <v>554150678.60000002</v>
      </c>
      <c r="E8" s="11"/>
      <c r="F8" s="9"/>
    </row>
    <row r="9" spans="1:9" x14ac:dyDescent="0.25">
      <c r="A9" s="7" t="s">
        <v>10</v>
      </c>
      <c r="B9" s="8" t="s">
        <v>11</v>
      </c>
      <c r="C9" s="9"/>
      <c r="D9" s="12">
        <v>249701</v>
      </c>
      <c r="E9" s="11"/>
      <c r="F9" s="9"/>
    </row>
    <row r="10" spans="1:9" x14ac:dyDescent="0.25">
      <c r="A10" s="7" t="s">
        <v>12</v>
      </c>
      <c r="B10" s="8" t="s">
        <v>13</v>
      </c>
      <c r="C10" s="9"/>
      <c r="D10" s="10">
        <f>D8-D9</f>
        <v>553900977.60000002</v>
      </c>
      <c r="E10" s="11"/>
      <c r="F10" s="9"/>
      <c r="G10" s="9" t="s">
        <v>14</v>
      </c>
    </row>
    <row r="11" spans="1:9" x14ac:dyDescent="0.25">
      <c r="A11" s="13"/>
      <c r="D11" s="11"/>
      <c r="E11" s="11"/>
    </row>
    <row r="12" spans="1:9" x14ac:dyDescent="0.25">
      <c r="A12" s="7" t="s">
        <v>15</v>
      </c>
      <c r="B12" s="8" t="s">
        <v>16</v>
      </c>
      <c r="C12" s="9" t="s">
        <v>17</v>
      </c>
      <c r="D12" s="11">
        <v>65393885</v>
      </c>
      <c r="E12" s="11"/>
    </row>
    <row r="13" spans="1:9" x14ac:dyDescent="0.25">
      <c r="A13" s="7" t="s">
        <v>18</v>
      </c>
      <c r="B13" s="8" t="s">
        <v>19</v>
      </c>
      <c r="D13" s="12">
        <f>D14-D12</f>
        <v>-5898</v>
      </c>
      <c r="E13" s="11"/>
    </row>
    <row r="14" spans="1:9" x14ac:dyDescent="0.25">
      <c r="A14" s="7" t="s">
        <v>20</v>
      </c>
      <c r="B14" s="8" t="s">
        <v>16</v>
      </c>
      <c r="C14" s="9"/>
      <c r="D14" s="11">
        <v>65387987</v>
      </c>
      <c r="E14" s="11"/>
      <c r="F14" s="14">
        <f>ROUND(D14/D10,4)</f>
        <v>0.11799999999999999</v>
      </c>
    </row>
    <row r="15" spans="1:9" x14ac:dyDescent="0.25">
      <c r="A15" s="13"/>
      <c r="D15" s="11"/>
      <c r="E15" s="11"/>
      <c r="F15" s="15"/>
    </row>
    <row r="16" spans="1:9" x14ac:dyDescent="0.25">
      <c r="A16" s="13">
        <f>A14-1</f>
        <v>-3</v>
      </c>
      <c r="B16" s="8" t="s">
        <v>21</v>
      </c>
      <c r="C16" s="9" t="s">
        <v>22</v>
      </c>
      <c r="D16" s="11">
        <v>284891</v>
      </c>
      <c r="E16" s="11"/>
      <c r="F16" s="14">
        <f>ROUND((D14+D16)/D10,4)</f>
        <v>0.1186</v>
      </c>
    </row>
    <row r="17" spans="1:6" x14ac:dyDescent="0.25">
      <c r="A17" s="13"/>
      <c r="B17" s="8"/>
      <c r="C17" s="8"/>
      <c r="D17" s="16"/>
      <c r="E17" s="16"/>
      <c r="F17" s="14"/>
    </row>
    <row r="18" spans="1:6" x14ac:dyDescent="0.25">
      <c r="A18" s="7" t="s">
        <v>23</v>
      </c>
      <c r="B18" s="8" t="s">
        <v>24</v>
      </c>
      <c r="C18" s="9" t="s">
        <v>25</v>
      </c>
      <c r="D18" s="11">
        <v>3903065</v>
      </c>
      <c r="E18" s="16"/>
      <c r="F18" s="14"/>
    </row>
    <row r="19" spans="1:6" x14ac:dyDescent="0.25">
      <c r="A19" s="7" t="s">
        <v>26</v>
      </c>
      <c r="B19" s="8" t="s">
        <v>19</v>
      </c>
      <c r="C19" s="8"/>
      <c r="D19" s="12">
        <f>D20-D18</f>
        <v>-9</v>
      </c>
      <c r="E19" s="16"/>
      <c r="F19" s="14"/>
    </row>
    <row r="20" spans="1:6" x14ac:dyDescent="0.25">
      <c r="A20" s="7" t="s">
        <v>27</v>
      </c>
      <c r="B20" s="8" t="s">
        <v>24</v>
      </c>
      <c r="C20" s="9"/>
      <c r="D20" s="11">
        <v>3903056</v>
      </c>
      <c r="E20" s="11"/>
      <c r="F20" s="14">
        <f>ROUND((D14+D16+D20)/D10,4)</f>
        <v>0.12559999999999999</v>
      </c>
    </row>
    <row r="21" spans="1:6" x14ac:dyDescent="0.25">
      <c r="A21" s="13"/>
      <c r="D21" s="17"/>
      <c r="E21" s="17"/>
      <c r="F21" s="15"/>
    </row>
    <row r="22" spans="1:6" ht="15.75" thickBot="1" x14ac:dyDescent="0.3">
      <c r="A22" s="13">
        <f>A20-1</f>
        <v>-5</v>
      </c>
      <c r="B22" s="8" t="s">
        <v>28</v>
      </c>
      <c r="D22" s="18">
        <f>D14+D16+D20</f>
        <v>69575934</v>
      </c>
      <c r="E22" s="10"/>
      <c r="F22" s="19" t="s">
        <v>14</v>
      </c>
    </row>
    <row r="23" spans="1:6" ht="15.75" thickTop="1" x14ac:dyDescent="0.25">
      <c r="A23" s="13"/>
      <c r="D23" s="17"/>
      <c r="E23" s="17"/>
      <c r="F23" s="15"/>
    </row>
    <row r="24" spans="1:6" x14ac:dyDescent="0.25">
      <c r="D24" s="20"/>
      <c r="E24" s="20"/>
      <c r="F24" s="15"/>
    </row>
    <row r="25" spans="1:6" x14ac:dyDescent="0.25">
      <c r="D25" s="20"/>
      <c r="E25" s="20"/>
      <c r="F25" s="15"/>
    </row>
    <row r="26" spans="1:6" x14ac:dyDescent="0.25">
      <c r="D26" s="20"/>
      <c r="E26" s="20"/>
      <c r="F26" s="15"/>
    </row>
    <row r="27" spans="1:6" x14ac:dyDescent="0.25">
      <c r="D27" s="21"/>
      <c r="E27" s="21"/>
      <c r="F27" s="15"/>
    </row>
    <row r="28" spans="1:6" x14ac:dyDescent="0.25">
      <c r="D28" s="21"/>
      <c r="E28" s="21"/>
      <c r="F28" s="15"/>
    </row>
    <row r="29" spans="1:6" x14ac:dyDescent="0.25">
      <c r="D29" s="21"/>
      <c r="E29" s="21"/>
    </row>
    <row r="30" spans="1:6" x14ac:dyDescent="0.25">
      <c r="D30" s="21"/>
      <c r="E30" s="21"/>
    </row>
    <row r="31" spans="1:6" x14ac:dyDescent="0.25">
      <c r="C31" s="16" t="s">
        <v>29</v>
      </c>
      <c r="D31" s="16"/>
    </row>
    <row r="32" spans="1:6" x14ac:dyDescent="0.25">
      <c r="B32" s="8"/>
      <c r="C32" s="16" t="s">
        <v>30</v>
      </c>
      <c r="D32" s="16"/>
      <c r="E32" s="16" t="s">
        <v>87</v>
      </c>
      <c r="F32" s="37"/>
    </row>
    <row r="33" spans="2:8" x14ac:dyDescent="0.25">
      <c r="B33" s="1" t="s">
        <v>31</v>
      </c>
      <c r="C33" s="17">
        <v>34</v>
      </c>
      <c r="D33" s="16"/>
      <c r="E33" s="16" t="s">
        <v>89</v>
      </c>
      <c r="F33" s="37"/>
      <c r="H33" s="1" t="s">
        <v>32</v>
      </c>
    </row>
    <row r="34" spans="2:8" ht="13.15" customHeight="1" x14ac:dyDescent="0.25">
      <c r="B34" s="1" t="s">
        <v>33</v>
      </c>
      <c r="C34" s="17">
        <f>G34*C$76</f>
        <v>9.2086403994258426</v>
      </c>
      <c r="D34" s="16"/>
      <c r="E34" s="16" t="s">
        <v>92</v>
      </c>
      <c r="F34" s="37">
        <v>5603916.6799999997</v>
      </c>
      <c r="G34" s="22">
        <f>F34/1000000</f>
        <v>5.6039166799999993</v>
      </c>
      <c r="H34" s="1" t="s">
        <v>34</v>
      </c>
    </row>
    <row r="35" spans="2:8" ht="13.15" customHeight="1" x14ac:dyDescent="0.25">
      <c r="B35" s="1" t="s">
        <v>35</v>
      </c>
      <c r="C35" s="17">
        <f>C77/1000000</f>
        <v>6.6962576848553104</v>
      </c>
      <c r="D35" s="16"/>
      <c r="E35" s="16" t="s">
        <v>90</v>
      </c>
      <c r="F35" s="37"/>
      <c r="H35" s="1" t="s">
        <v>36</v>
      </c>
    </row>
    <row r="36" spans="2:8" ht="13.15" customHeight="1" x14ac:dyDescent="0.25">
      <c r="B36" s="1" t="s">
        <v>37</v>
      </c>
      <c r="C36" s="17">
        <f t="shared" ref="C36:C41" si="0">G36*C$76</f>
        <v>6.6249610260966305</v>
      </c>
      <c r="E36" s="16" t="s">
        <v>94</v>
      </c>
      <c r="F36" s="38">
        <v>4031619</v>
      </c>
      <c r="G36" s="22">
        <f t="shared" ref="G36:G41" si="1">F36/1000000</f>
        <v>4.0316190000000001</v>
      </c>
      <c r="H36" s="1" t="s">
        <v>38</v>
      </c>
    </row>
    <row r="37" spans="2:8" ht="13.15" customHeight="1" x14ac:dyDescent="0.25">
      <c r="B37" s="1" t="s">
        <v>39</v>
      </c>
      <c r="C37" s="17">
        <f t="shared" si="0"/>
        <v>4.0544402790933303</v>
      </c>
      <c r="D37" s="23"/>
      <c r="E37" s="16" t="s">
        <v>94</v>
      </c>
      <c r="F37" s="37">
        <v>2467329</v>
      </c>
      <c r="G37" s="22">
        <f t="shared" si="1"/>
        <v>2.4673289999999999</v>
      </c>
      <c r="H37" s="1" t="s">
        <v>40</v>
      </c>
    </row>
    <row r="38" spans="2:8" ht="13.15" customHeight="1" x14ac:dyDescent="0.25">
      <c r="B38" s="1" t="s">
        <v>41</v>
      </c>
      <c r="C38" s="17">
        <f t="shared" si="0"/>
        <v>3.8464014451097897</v>
      </c>
      <c r="D38" s="16"/>
      <c r="E38" s="16" t="s">
        <v>91</v>
      </c>
      <c r="F38" s="37">
        <v>2340727</v>
      </c>
      <c r="G38" s="22">
        <f t="shared" si="1"/>
        <v>2.3407269999999998</v>
      </c>
      <c r="H38" s="1" t="s">
        <v>42</v>
      </c>
    </row>
    <row r="39" spans="2:8" ht="13.15" customHeight="1" x14ac:dyDescent="0.25">
      <c r="B39" s="1" t="s">
        <v>43</v>
      </c>
      <c r="C39" s="17">
        <f t="shared" si="0"/>
        <v>3.5071145288755798</v>
      </c>
      <c r="D39" s="16"/>
      <c r="E39" s="16" t="s">
        <v>88</v>
      </c>
      <c r="F39" s="37">
        <v>2134254</v>
      </c>
      <c r="G39" s="22">
        <f t="shared" si="1"/>
        <v>2.1342539999999999</v>
      </c>
      <c r="H39" s="1" t="s">
        <v>44</v>
      </c>
    </row>
    <row r="40" spans="2:8" x14ac:dyDescent="0.25">
      <c r="B40" s="1" t="s">
        <v>45</v>
      </c>
      <c r="C40" s="17">
        <f t="shared" si="0"/>
        <v>2.2855514849714402</v>
      </c>
      <c r="D40" s="16"/>
      <c r="E40" s="16" t="s">
        <v>88</v>
      </c>
      <c r="F40" s="37">
        <v>1390872</v>
      </c>
      <c r="G40" s="22">
        <f t="shared" si="1"/>
        <v>1.3908720000000001</v>
      </c>
      <c r="H40" s="1" t="s">
        <v>46</v>
      </c>
    </row>
    <row r="41" spans="2:8" x14ac:dyDescent="0.25">
      <c r="B41" s="1" t="s">
        <v>47</v>
      </c>
      <c r="C41" s="17">
        <f t="shared" si="0"/>
        <v>0.93416341398345004</v>
      </c>
      <c r="E41" s="16" t="s">
        <v>94</v>
      </c>
      <c r="F41" s="37">
        <v>568485</v>
      </c>
      <c r="G41" s="22">
        <f t="shared" si="1"/>
        <v>0.56848500000000002</v>
      </c>
      <c r="H41" s="1" t="s">
        <v>48</v>
      </c>
    </row>
    <row r="42" spans="2:8" x14ac:dyDescent="0.25">
      <c r="B42" s="1" t="s">
        <v>49</v>
      </c>
      <c r="C42" s="17">
        <f>D12/1000000-SUM(C33:C41,C43:C44)</f>
        <v>4.8519810695821946</v>
      </c>
      <c r="E42" s="16" t="s">
        <v>94</v>
      </c>
      <c r="F42" s="37"/>
      <c r="G42" s="22"/>
    </row>
    <row r="43" spans="2:8" x14ac:dyDescent="0.25">
      <c r="B43" s="1" t="s">
        <v>50</v>
      </c>
      <c r="C43" s="17">
        <f>G43*C$76</f>
        <v>-3.7848612929605987</v>
      </c>
      <c r="E43" s="16" t="s">
        <v>94</v>
      </c>
      <c r="F43" s="37">
        <v>-2303276.7500000005</v>
      </c>
      <c r="G43" s="22">
        <f t="shared" ref="G43:G44" si="2">F43/1000000</f>
        <v>-2.3032767500000006</v>
      </c>
      <c r="H43" s="1" t="s">
        <v>51</v>
      </c>
    </row>
    <row r="44" spans="2:8" x14ac:dyDescent="0.25">
      <c r="B44" s="1" t="s">
        <v>52</v>
      </c>
      <c r="C44" s="17">
        <f>G44*C$76</f>
        <v>-6.8307650390329702</v>
      </c>
      <c r="E44" s="16" t="s">
        <v>94</v>
      </c>
      <c r="F44" s="37">
        <v>-4156861</v>
      </c>
      <c r="G44" s="22">
        <f t="shared" si="2"/>
        <v>-4.1568610000000001</v>
      </c>
      <c r="H44" s="1" t="s">
        <v>53</v>
      </c>
    </row>
    <row r="45" spans="2:8" x14ac:dyDescent="0.25">
      <c r="B45" s="1" t="s">
        <v>54</v>
      </c>
      <c r="C45" s="17">
        <f>SUM(C33:C44)</f>
        <v>65.393884999999997</v>
      </c>
      <c r="D45" s="1" t="s">
        <v>55</v>
      </c>
    </row>
    <row r="46" spans="2:8" x14ac:dyDescent="0.25">
      <c r="B46" s="1" t="s">
        <v>56</v>
      </c>
      <c r="C46" s="17">
        <f>D16/1000000</f>
        <v>0.28489100000000001</v>
      </c>
    </row>
    <row r="47" spans="2:8" x14ac:dyDescent="0.25">
      <c r="B47" s="1" t="s">
        <v>57</v>
      </c>
      <c r="C47" s="17">
        <f>D18/1000000</f>
        <v>3.9030649999999998</v>
      </c>
      <c r="E47" s="16" t="s">
        <v>93</v>
      </c>
    </row>
    <row r="48" spans="2:8" ht="15.75" thickBot="1" x14ac:dyDescent="0.3">
      <c r="B48" s="1" t="s">
        <v>58</v>
      </c>
      <c r="C48" s="24">
        <f>SUM(C45:C47)</f>
        <v>69.581840999999997</v>
      </c>
      <c r="D48" s="1" t="s">
        <v>59</v>
      </c>
    </row>
    <row r="49" spans="2:8" ht="15.75" thickTop="1" x14ac:dyDescent="0.25"/>
    <row r="50" spans="2:8" ht="16.5" x14ac:dyDescent="0.35">
      <c r="C50" s="25" t="s">
        <v>60</v>
      </c>
    </row>
    <row r="51" spans="2:8" x14ac:dyDescent="0.25">
      <c r="B51" s="1" t="s">
        <v>61</v>
      </c>
      <c r="C51" s="17">
        <f>-G51</f>
        <v>-4.9964469999999999</v>
      </c>
      <c r="F51" s="26">
        <v>4996447</v>
      </c>
      <c r="G51" s="22">
        <f t="shared" ref="G51:G52" si="3">F51/1000000</f>
        <v>4.9964469999999999</v>
      </c>
      <c r="H51" s="1" t="s">
        <v>86</v>
      </c>
    </row>
    <row r="52" spans="2:8" x14ac:dyDescent="0.25">
      <c r="B52" s="1" t="s">
        <v>62</v>
      </c>
      <c r="C52" s="17">
        <f>-G52</f>
        <v>-1.2657050000000001</v>
      </c>
      <c r="F52" s="26">
        <v>1265705</v>
      </c>
      <c r="G52" s="22">
        <f t="shared" si="3"/>
        <v>1.2657050000000001</v>
      </c>
      <c r="H52" s="1" t="s">
        <v>86</v>
      </c>
    </row>
    <row r="53" spans="2:8" x14ac:dyDescent="0.25">
      <c r="C53" s="17"/>
    </row>
    <row r="54" spans="2:8" x14ac:dyDescent="0.25">
      <c r="B54" s="1" t="s">
        <v>63</v>
      </c>
      <c r="C54" s="17">
        <f>C51+C45</f>
        <v>60.397437999999994</v>
      </c>
      <c r="D54" s="1" t="s">
        <v>64</v>
      </c>
    </row>
    <row r="55" spans="2:8" x14ac:dyDescent="0.25">
      <c r="B55" s="1" t="s">
        <v>65</v>
      </c>
      <c r="C55" s="27">
        <f>C48+C51+C52</f>
        <v>63.319688999999997</v>
      </c>
      <c r="D55" s="1" t="s">
        <v>66</v>
      </c>
    </row>
    <row r="56" spans="2:8" x14ac:dyDescent="0.25">
      <c r="C56" s="28"/>
    </row>
    <row r="58" spans="2:8" x14ac:dyDescent="0.25">
      <c r="B58" s="36" t="s">
        <v>31</v>
      </c>
      <c r="C58" s="36"/>
    </row>
    <row r="59" spans="2:8" x14ac:dyDescent="0.25">
      <c r="B59" s="1" t="s">
        <v>67</v>
      </c>
      <c r="C59" s="30">
        <v>6553903</v>
      </c>
      <c r="D59" s="1" t="s">
        <v>68</v>
      </c>
    </row>
    <row r="60" spans="2:8" x14ac:dyDescent="0.25">
      <c r="B60" s="1" t="s">
        <v>69</v>
      </c>
      <c r="C60" s="30">
        <v>5620670</v>
      </c>
      <c r="D60" s="1" t="s">
        <v>59</v>
      </c>
    </row>
    <row r="61" spans="2:8" x14ac:dyDescent="0.25">
      <c r="B61" s="1" t="s">
        <v>70</v>
      </c>
      <c r="C61" s="15">
        <f>(C59-C60)/C59</f>
        <v>0.14239347149324608</v>
      </c>
    </row>
    <row r="62" spans="2:8" x14ac:dyDescent="0.25">
      <c r="B62" s="1" t="s">
        <v>71</v>
      </c>
      <c r="C62" s="28">
        <v>500557104.41551197</v>
      </c>
      <c r="D62" s="1" t="s">
        <v>72</v>
      </c>
    </row>
    <row r="63" spans="2:8" x14ac:dyDescent="0.25">
      <c r="B63" s="1" t="s">
        <v>73</v>
      </c>
      <c r="C63" s="29">
        <f>C62*C59/C60</f>
        <v>583667553.56570244</v>
      </c>
      <c r="D63" s="1" t="s">
        <v>74</v>
      </c>
    </row>
    <row r="64" spans="2:8" x14ac:dyDescent="0.25">
      <c r="B64" s="1" t="s">
        <v>75</v>
      </c>
      <c r="C64" s="28">
        <f>C63-C62</f>
        <v>83110449.150190473</v>
      </c>
      <c r="D64" s="1" t="s">
        <v>76</v>
      </c>
    </row>
    <row r="65" spans="2:4" x14ac:dyDescent="0.25">
      <c r="B65" s="1" t="s">
        <v>77</v>
      </c>
      <c r="C65" s="28">
        <f>C64*0.59</f>
        <v>49035164.998612374</v>
      </c>
      <c r="D65" s="1" t="s">
        <v>78</v>
      </c>
    </row>
    <row r="66" spans="2:4" x14ac:dyDescent="0.25">
      <c r="B66" s="1" t="s">
        <v>79</v>
      </c>
      <c r="C66" s="28">
        <f>C64-C65</f>
        <v>34075284.151578099</v>
      </c>
      <c r="D66" s="31" t="s">
        <v>80</v>
      </c>
    </row>
    <row r="71" spans="2:4" x14ac:dyDescent="0.25">
      <c r="B71" s="36" t="s">
        <v>35</v>
      </c>
      <c r="C71" s="36"/>
    </row>
    <row r="72" spans="2:4" x14ac:dyDescent="0.25">
      <c r="B72" s="1" t="s">
        <v>81</v>
      </c>
      <c r="C72" s="26">
        <v>1135810128</v>
      </c>
    </row>
    <row r="73" spans="2:4" x14ac:dyDescent="0.25">
      <c r="B73" s="1" t="s">
        <v>82</v>
      </c>
      <c r="C73" s="28">
        <v>1191785492.9804499</v>
      </c>
    </row>
    <row r="74" spans="2:4" x14ac:dyDescent="0.25">
      <c r="B74" s="1" t="s">
        <v>83</v>
      </c>
      <c r="C74" s="28">
        <f>C73-C72</f>
        <v>55975364.980449915</v>
      </c>
    </row>
    <row r="75" spans="2:4" x14ac:dyDescent="0.25">
      <c r="B75" s="9" t="s">
        <v>84</v>
      </c>
      <c r="C75" s="32">
        <v>7.2800000000000004E-2</v>
      </c>
    </row>
    <row r="76" spans="2:4" x14ac:dyDescent="0.25">
      <c r="B76" s="9" t="s">
        <v>85</v>
      </c>
      <c r="C76" s="1">
        <v>1.6432507700000001</v>
      </c>
    </row>
    <row r="77" spans="2:4" x14ac:dyDescent="0.25">
      <c r="C77" s="28">
        <f>C74*C75*C76</f>
        <v>6696257.6848553102</v>
      </c>
    </row>
  </sheetData>
  <mergeCells count="5">
    <mergeCell ref="B2:F2"/>
    <mergeCell ref="B3:F3"/>
    <mergeCell ref="B4:F4"/>
    <mergeCell ref="B58:C58"/>
    <mergeCell ref="B71:C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dcterms:created xsi:type="dcterms:W3CDTF">2017-09-12T18:48:50Z</dcterms:created>
  <dcterms:modified xsi:type="dcterms:W3CDTF">2017-09-14T19:05:04Z</dcterms:modified>
</cp:coreProperties>
</file>